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OneDrive\Documents\Mapperley GC\MGC Comps\MGC Handicaps\"/>
    </mc:Choice>
  </mc:AlternateContent>
  <xr:revisionPtr revIDLastSave="0" documentId="13_ncr:1_{FB23C8C8-A8C6-4A2A-9252-107A5F79DEE3}" xr6:coauthVersionLast="47" xr6:coauthVersionMax="47" xr10:uidLastSave="{00000000-0000-0000-0000-000000000000}"/>
  <workbookProtection workbookAlgorithmName="SHA-512" workbookHashValue="f2Bhis7BWR5tTFfAgXRqug7afBL+I5kjkXS0Cvnth3tLneN+KeePvmUTnuaSOENAMlFoHWDEg5M9JzabZApXLQ==" workbookSaltValue="eCZLtjfzrkMxTuk35u5fGA==" workbookSpinCount="100000" lockStructure="1"/>
  <bookViews>
    <workbookView xWindow="-120" yWindow="-120" windowWidth="20730" windowHeight="11160" tabRatio="762" xr2:uid="{00000000-000D-0000-FFFF-FFFF00000000}"/>
  </bookViews>
  <sheets>
    <sheet name="18 Holes - 2 Tees" sheetId="2" r:id="rId1"/>
    <sheet name="18 Holes - 3 Tees" sheetId="4" r:id="rId2"/>
    <sheet name="9 Holes - 2 Tees" sheetId="3" r:id="rId3"/>
    <sheet name="Foursomes Greensomes" sheetId="5" r:id="rId4"/>
    <sheet name="Scrambles" sheetId="6" r:id="rId5"/>
    <sheet name="Team Competition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34" i="5"/>
  <c r="E38" i="3"/>
  <c r="E35" i="3"/>
  <c r="E34" i="3"/>
  <c r="E32" i="3"/>
  <c r="E31" i="3"/>
  <c r="D38" i="3"/>
  <c r="D35" i="3"/>
  <c r="D34" i="3"/>
  <c r="D32" i="3"/>
  <c r="D31" i="3"/>
  <c r="Z9" i="7" l="1"/>
  <c r="X9" i="7"/>
  <c r="V9" i="7"/>
  <c r="V10" i="7" s="1"/>
  <c r="V11" i="7" s="1"/>
  <c r="K12" i="6"/>
  <c r="Z9" i="6"/>
  <c r="X9" i="6"/>
  <c r="V9" i="6"/>
  <c r="V10" i="6" s="1"/>
  <c r="V11" i="6" s="1"/>
  <c r="K12" i="5"/>
  <c r="Z9" i="5"/>
  <c r="Z10" i="5" s="1"/>
  <c r="Z11" i="5" s="1"/>
  <c r="X9" i="5"/>
  <c r="X10" i="5" s="1"/>
  <c r="X11" i="5" s="1"/>
  <c r="V9" i="5"/>
  <c r="V10" i="5" s="1"/>
  <c r="V11" i="5" s="1"/>
  <c r="W9" i="4"/>
  <c r="W10" i="4" s="1"/>
  <c r="U9" i="4"/>
  <c r="S9" i="4"/>
  <c r="S10" i="4" s="1"/>
  <c r="N9" i="4"/>
  <c r="O9" i="4"/>
  <c r="N10" i="4"/>
  <c r="O10" i="4"/>
  <c r="N11" i="4"/>
  <c r="O11" i="4"/>
  <c r="M9" i="2"/>
  <c r="M10" i="2" s="1"/>
  <c r="M11" i="2" s="1"/>
  <c r="K9" i="2"/>
  <c r="T39" i="6"/>
  <c r="T40" i="6"/>
  <c r="T41" i="6"/>
  <c r="T38" i="6"/>
  <c r="U10" i="4" l="1"/>
  <c r="U11" i="4" s="1"/>
  <c r="U12" i="4" s="1"/>
  <c r="H12" i="4" s="1"/>
  <c r="P10" i="4" s="1"/>
  <c r="F35" i="5"/>
  <c r="F34" i="5"/>
  <c r="O12" i="4"/>
  <c r="X10" i="6"/>
  <c r="X11" i="6" s="1"/>
  <c r="X12" i="6" s="1"/>
  <c r="H12" i="6" s="1"/>
  <c r="N12" i="4"/>
  <c r="X12" i="5"/>
  <c r="H12" i="5" s="1"/>
  <c r="Z12" i="5"/>
  <c r="X10" i="7"/>
  <c r="X11" i="7" s="1"/>
  <c r="X12" i="7" s="1"/>
  <c r="H12" i="7" s="1"/>
  <c r="Z12" i="7"/>
  <c r="K12" i="7" s="1"/>
  <c r="V12" i="7"/>
  <c r="F12" i="7" s="1"/>
  <c r="S9" i="7" s="1"/>
  <c r="Z10" i="7"/>
  <c r="Z11" i="7" s="1"/>
  <c r="V12" i="6"/>
  <c r="F12" i="6" s="1"/>
  <c r="Z10" i="6"/>
  <c r="Z11" i="6" s="1"/>
  <c r="Z12" i="6"/>
  <c r="V12" i="5"/>
  <c r="F12" i="5" s="1"/>
  <c r="W11" i="4"/>
  <c r="W12" i="4" s="1"/>
  <c r="K12" i="4" s="1"/>
  <c r="P11" i="4" s="1"/>
  <c r="S11" i="4"/>
  <c r="S12" i="4" s="1"/>
  <c r="F12" i="4" s="1"/>
  <c r="P9" i="4" s="1"/>
  <c r="M12" i="2"/>
  <c r="H12" i="2" s="1"/>
  <c r="K10" i="2"/>
  <c r="K11" i="2" s="1"/>
  <c r="K12" i="2" s="1"/>
  <c r="F12" i="2" s="1"/>
  <c r="G50" i="7"/>
  <c r="G49" i="7"/>
  <c r="G48" i="7"/>
  <c r="G47" i="7"/>
  <c r="M39" i="7"/>
  <c r="L39" i="7"/>
  <c r="D50" i="7"/>
  <c r="D49" i="7"/>
  <c r="D48" i="7"/>
  <c r="D47" i="7"/>
  <c r="L28" i="7"/>
  <c r="G28" i="7"/>
  <c r="R11" i="7"/>
  <c r="Q11" i="7"/>
  <c r="R10" i="7"/>
  <c r="Q10" i="7"/>
  <c r="R9" i="7"/>
  <c r="Q9" i="7"/>
  <c r="J53" i="7" l="1"/>
  <c r="J54" i="7" s="1"/>
  <c r="J55" i="7" s="1"/>
  <c r="J56" i="7" s="1"/>
  <c r="J57" i="7" s="1"/>
  <c r="K53" i="7"/>
  <c r="K54" i="7" s="1"/>
  <c r="K55" i="7" s="1"/>
  <c r="K56" i="7" s="1"/>
  <c r="K57" i="7" s="1"/>
  <c r="S11" i="7"/>
  <c r="R13" i="7"/>
  <c r="P12" i="4"/>
  <c r="Q13" i="7"/>
  <c r="L53" i="7"/>
  <c r="L54" i="7" s="1"/>
  <c r="L55" i="7" s="1"/>
  <c r="L56" i="7" s="1"/>
  <c r="F50" i="7" s="1"/>
  <c r="N23" i="7" s="1"/>
  <c r="I53" i="7"/>
  <c r="I54" i="7" s="1"/>
  <c r="I55" i="7" s="1"/>
  <c r="I56" i="7" s="1"/>
  <c r="F47" i="7" s="1"/>
  <c r="F23" i="7" s="1"/>
  <c r="E48" i="7"/>
  <c r="L42" i="7"/>
  <c r="O24" i="7" s="1"/>
  <c r="E47" i="7"/>
  <c r="S10" i="7"/>
  <c r="F48" i="7" l="1"/>
  <c r="H23" i="7" s="1"/>
  <c r="F49" i="7"/>
  <c r="K23" i="7" s="1"/>
  <c r="S13" i="7"/>
  <c r="J32" i="7" s="1"/>
  <c r="J37" i="7"/>
  <c r="E35" i="7"/>
  <c r="D36" i="7"/>
  <c r="D34" i="7"/>
  <c r="D37" i="7"/>
  <c r="D38" i="7"/>
  <c r="D35" i="7"/>
  <c r="F34" i="7"/>
  <c r="E32" i="7"/>
  <c r="E36" i="7"/>
  <c r="E34" i="7"/>
  <c r="D32" i="7"/>
  <c r="E33" i="7"/>
  <c r="E37" i="7"/>
  <c r="D33" i="7"/>
  <c r="F35" i="7"/>
  <c r="E38" i="7"/>
  <c r="F33" i="7"/>
  <c r="F32" i="7"/>
  <c r="F36" i="7"/>
  <c r="F37" i="7"/>
  <c r="F38" i="7"/>
  <c r="I57" i="7"/>
  <c r="L57" i="7"/>
  <c r="G24" i="7"/>
  <c r="F24" i="7" s="1"/>
  <c r="L24" i="7"/>
  <c r="N24" i="7"/>
  <c r="I24" i="7"/>
  <c r="G61" i="7" s="1"/>
  <c r="J38" i="5"/>
  <c r="I38" i="5"/>
  <c r="H38" i="5"/>
  <c r="K24" i="7" l="1"/>
  <c r="F39" i="7"/>
  <c r="H34" i="7"/>
  <c r="I37" i="7"/>
  <c r="I38" i="7"/>
  <c r="J35" i="7"/>
  <c r="I33" i="7"/>
  <c r="H32" i="7"/>
  <c r="I34" i="7"/>
  <c r="H38" i="7"/>
  <c r="J39" i="7"/>
  <c r="J42" i="7" s="1"/>
  <c r="K14" i="7" s="1"/>
  <c r="H37" i="7"/>
  <c r="I39" i="7"/>
  <c r="J33" i="7"/>
  <c r="H33" i="7"/>
  <c r="J36" i="7"/>
  <c r="J34" i="7"/>
  <c r="I36" i="7"/>
  <c r="H36" i="7"/>
  <c r="I35" i="7"/>
  <c r="J38" i="7"/>
  <c r="H35" i="7"/>
  <c r="I32" i="7"/>
  <c r="E39" i="7"/>
  <c r="D39" i="7"/>
  <c r="H39" i="7"/>
  <c r="H24" i="7"/>
  <c r="K47" i="4"/>
  <c r="K48" i="4" s="1"/>
  <c r="K49" i="4" s="1"/>
  <c r="K50" i="4" s="1"/>
  <c r="K51" i="4" s="1"/>
  <c r="K21" i="4" s="1"/>
  <c r="H47" i="4"/>
  <c r="H48" i="4" s="1"/>
  <c r="H49" i="4" s="1"/>
  <c r="H50" i="4" s="1"/>
  <c r="H51" i="4" s="1"/>
  <c r="H21" i="4" s="1"/>
  <c r="F47" i="4"/>
  <c r="F48" i="4" s="1"/>
  <c r="F49" i="4" s="1"/>
  <c r="F50" i="4" s="1"/>
  <c r="F51" i="4" s="1"/>
  <c r="F21" i="4" s="1"/>
  <c r="H47" i="2"/>
  <c r="F47" i="2"/>
  <c r="F48" i="2" s="1"/>
  <c r="F49" i="2" s="1"/>
  <c r="I42" i="7" l="1"/>
  <c r="H14" i="7" s="1"/>
  <c r="H42" i="7"/>
  <c r="F14" i="7" s="1"/>
  <c r="H48" i="2"/>
  <c r="H49" i="2" s="1"/>
  <c r="H50" i="2" s="1"/>
  <c r="H51" i="2" s="1"/>
  <c r="H21" i="2" s="1"/>
  <c r="F50" i="2"/>
  <c r="H25" i="7" l="1"/>
  <c r="J61" i="7" s="1"/>
  <c r="J62" i="7" s="1"/>
  <c r="J63" i="7" s="1"/>
  <c r="J64" i="7" s="1"/>
  <c r="H27" i="7" s="1"/>
  <c r="N25" i="7"/>
  <c r="L61" i="7" s="1"/>
  <c r="L62" i="7" s="1"/>
  <c r="L63" i="7" s="1"/>
  <c r="L64" i="7" s="1"/>
  <c r="N27" i="7" s="1"/>
  <c r="K25" i="7"/>
  <c r="K61" i="7" s="1"/>
  <c r="F25" i="7"/>
  <c r="I61" i="7" s="1"/>
  <c r="I62" i="7" s="1"/>
  <c r="I63" i="7" s="1"/>
  <c r="I64" i="7" s="1"/>
  <c r="F27" i="7" s="1"/>
  <c r="F51" i="2"/>
  <c r="F21" i="2" s="1"/>
  <c r="D50" i="6"/>
  <c r="D49" i="6"/>
  <c r="D48" i="6"/>
  <c r="D47" i="6"/>
  <c r="K62" i="7" l="1"/>
  <c r="K63" i="7" s="1"/>
  <c r="K64" i="7" s="1"/>
  <c r="K27" i="7" s="1"/>
  <c r="N26" i="7"/>
  <c r="F26" i="7"/>
  <c r="H26" i="7"/>
  <c r="X17" i="6"/>
  <c r="I36" i="6"/>
  <c r="H36" i="6"/>
  <c r="M35" i="6"/>
  <c r="L35" i="6"/>
  <c r="K35" i="6"/>
  <c r="M34" i="6"/>
  <c r="L34" i="6"/>
  <c r="K34" i="6"/>
  <c r="M33" i="6"/>
  <c r="K38" i="6" s="1"/>
  <c r="L33" i="6"/>
  <c r="K33" i="6"/>
  <c r="M32" i="6"/>
  <c r="K37" i="6" s="1"/>
  <c r="L32" i="6"/>
  <c r="M37" i="6" s="1"/>
  <c r="K32" i="6"/>
  <c r="L37" i="6" s="1"/>
  <c r="L28" i="6"/>
  <c r="G28" i="6"/>
  <c r="R12" i="6"/>
  <c r="Q12" i="6"/>
  <c r="S12" i="6"/>
  <c r="S11" i="6"/>
  <c r="S10" i="6"/>
  <c r="S9" i="6"/>
  <c r="R11" i="6"/>
  <c r="Q11" i="6"/>
  <c r="R10" i="6"/>
  <c r="Q10" i="6"/>
  <c r="R9" i="6"/>
  <c r="Q9" i="6"/>
  <c r="M38" i="6" l="1"/>
  <c r="M40" i="6"/>
  <c r="M39" i="6"/>
  <c r="L39" i="6"/>
  <c r="L38" i="6"/>
  <c r="L40" i="6"/>
  <c r="H48" i="6"/>
  <c r="I48" i="6" s="1"/>
  <c r="K47" i="6"/>
  <c r="H47" i="6"/>
  <c r="I47" i="6" s="1"/>
  <c r="K40" i="6"/>
  <c r="R13" i="6"/>
  <c r="S13" i="6"/>
  <c r="Q13" i="6"/>
  <c r="K39" i="6"/>
  <c r="L28" i="5"/>
  <c r="G28" i="5"/>
  <c r="K48" i="6" l="1"/>
  <c r="L48" i="6" s="1"/>
  <c r="K50" i="6"/>
  <c r="H50" i="6"/>
  <c r="I50" i="6" s="1"/>
  <c r="L47" i="6"/>
  <c r="E47" i="6"/>
  <c r="F47" i="6" s="1"/>
  <c r="F23" i="6" s="1"/>
  <c r="T22" i="6" s="1"/>
  <c r="K49" i="6"/>
  <c r="H49" i="6"/>
  <c r="I49" i="6" s="1"/>
  <c r="E48" i="6"/>
  <c r="F48" i="6" s="1"/>
  <c r="H23" i="6" s="1"/>
  <c r="G33" i="6"/>
  <c r="G34" i="6"/>
  <c r="E34" i="6"/>
  <c r="D34" i="6"/>
  <c r="F34" i="6"/>
  <c r="E35" i="6"/>
  <c r="F35" i="6"/>
  <c r="G35" i="6"/>
  <c r="E33" i="6"/>
  <c r="F33" i="6"/>
  <c r="E32" i="6"/>
  <c r="G32" i="6"/>
  <c r="D35" i="6"/>
  <c r="D33" i="6"/>
  <c r="F32" i="6"/>
  <c r="D32" i="6"/>
  <c r="N35" i="5"/>
  <c r="M35" i="5"/>
  <c r="L35" i="5"/>
  <c r="N34" i="5"/>
  <c r="M34" i="5"/>
  <c r="L34" i="5"/>
  <c r="N33" i="5"/>
  <c r="M33" i="5"/>
  <c r="L33" i="5"/>
  <c r="N32" i="5"/>
  <c r="L39" i="5" s="1"/>
  <c r="M32" i="5"/>
  <c r="L32" i="5"/>
  <c r="R12" i="5"/>
  <c r="Q12" i="5"/>
  <c r="R11" i="5"/>
  <c r="Q11" i="5"/>
  <c r="R10" i="5"/>
  <c r="Q10" i="5"/>
  <c r="R9" i="5"/>
  <c r="Q9" i="5"/>
  <c r="N42" i="5" l="1"/>
  <c r="N40" i="5"/>
  <c r="M42" i="5"/>
  <c r="M40" i="5"/>
  <c r="L41" i="5"/>
  <c r="N41" i="5"/>
  <c r="N39" i="5"/>
  <c r="M39" i="5"/>
  <c r="M41" i="5"/>
  <c r="F63" i="5"/>
  <c r="G36" i="6"/>
  <c r="N35" i="6" s="1"/>
  <c r="S22" i="6"/>
  <c r="L50" i="6"/>
  <c r="E50" i="6"/>
  <c r="F50" i="6" s="1"/>
  <c r="N23" i="6" s="1"/>
  <c r="R25" i="6" s="1"/>
  <c r="R30" i="6" s="1"/>
  <c r="S30" i="6" s="1"/>
  <c r="R22" i="6"/>
  <c r="Z27" i="6" s="1"/>
  <c r="AA27" i="6" s="1"/>
  <c r="E49" i="6"/>
  <c r="F49" i="6" s="1"/>
  <c r="K23" i="6" s="1"/>
  <c r="L49" i="6"/>
  <c r="T23" i="6"/>
  <c r="S23" i="6"/>
  <c r="S11" i="5"/>
  <c r="L40" i="5"/>
  <c r="R23" i="6"/>
  <c r="Z28" i="6" s="1"/>
  <c r="AA28" i="6" s="1"/>
  <c r="R13" i="5"/>
  <c r="E36" i="6"/>
  <c r="H14" i="6" s="1"/>
  <c r="N33" i="6" s="1"/>
  <c r="F36" i="6"/>
  <c r="K14" i="6" s="1"/>
  <c r="N34" i="6" s="1"/>
  <c r="D36" i="6"/>
  <c r="F14" i="6" s="1"/>
  <c r="Q13" i="5"/>
  <c r="L42" i="5"/>
  <c r="S12" i="5"/>
  <c r="S9" i="5"/>
  <c r="S10" i="5"/>
  <c r="R27" i="6" l="1"/>
  <c r="L64" i="5"/>
  <c r="L63" i="5"/>
  <c r="F64" i="5"/>
  <c r="F49" i="5" s="1"/>
  <c r="F50" i="5" s="1"/>
  <c r="F51" i="5" s="1"/>
  <c r="F52" i="5" s="1"/>
  <c r="F53" i="5" s="1"/>
  <c r="F23" i="5" s="1"/>
  <c r="O64" i="5"/>
  <c r="O63" i="5"/>
  <c r="O49" i="5" s="1"/>
  <c r="O50" i="5" s="1"/>
  <c r="O51" i="5" s="1"/>
  <c r="O52" i="5" s="1"/>
  <c r="O53" i="5" s="1"/>
  <c r="N23" i="5" s="1"/>
  <c r="H63" i="5"/>
  <c r="H64" i="5"/>
  <c r="V27" i="6"/>
  <c r="W27" i="6" s="1"/>
  <c r="Z33" i="6"/>
  <c r="Z32" i="6"/>
  <c r="AA33" i="6"/>
  <c r="AA32" i="6"/>
  <c r="F32" i="5"/>
  <c r="D37" i="5"/>
  <c r="F36" i="5"/>
  <c r="E36" i="5"/>
  <c r="D36" i="5"/>
  <c r="G36" i="5"/>
  <c r="G37" i="5"/>
  <c r="F37" i="5"/>
  <c r="E37" i="5"/>
  <c r="R24" i="6"/>
  <c r="S24" i="6"/>
  <c r="V28" i="6"/>
  <c r="R28" i="6"/>
  <c r="S28" i="6" s="1"/>
  <c r="S27" i="6"/>
  <c r="N32" i="6"/>
  <c r="G32" i="5"/>
  <c r="O35" i="5" s="1"/>
  <c r="D33" i="5"/>
  <c r="S13" i="5"/>
  <c r="E33" i="5"/>
  <c r="D32" i="5"/>
  <c r="F33" i="5"/>
  <c r="E32" i="5"/>
  <c r="G33" i="5"/>
  <c r="H49" i="5" l="1"/>
  <c r="H50" i="5" s="1"/>
  <c r="H51" i="5" s="1"/>
  <c r="H52" i="5" s="1"/>
  <c r="H53" i="5" s="1"/>
  <c r="H23" i="5" s="1"/>
  <c r="P39" i="5" s="1"/>
  <c r="F24" i="5" s="1"/>
  <c r="L49" i="5"/>
  <c r="L50" i="5" s="1"/>
  <c r="L51" i="5" s="1"/>
  <c r="L52" i="5" s="1"/>
  <c r="L53" i="5" s="1"/>
  <c r="K23" i="5" s="1"/>
  <c r="P41" i="5" s="1"/>
  <c r="K24" i="5" s="1"/>
  <c r="E35" i="5"/>
  <c r="E34" i="5"/>
  <c r="D34" i="5"/>
  <c r="D35" i="5"/>
  <c r="AB33" i="6"/>
  <c r="AB32" i="6"/>
  <c r="W28" i="6"/>
  <c r="V29" i="6"/>
  <c r="W29" i="6" s="1"/>
  <c r="R29" i="6"/>
  <c r="R33" i="6" s="1"/>
  <c r="N37" i="6"/>
  <c r="F25" i="6" s="1"/>
  <c r="N40" i="6"/>
  <c r="N25" i="6" s="1"/>
  <c r="N39" i="6"/>
  <c r="K25" i="6" s="1"/>
  <c r="N38" i="6"/>
  <c r="H25" i="6" s="1"/>
  <c r="G38" i="5"/>
  <c r="F38" i="5"/>
  <c r="K14" i="5" s="1"/>
  <c r="O34" i="5" s="1"/>
  <c r="E38" i="5"/>
  <c r="H14" i="5" s="1"/>
  <c r="O33" i="5" s="1"/>
  <c r="G40" i="4"/>
  <c r="P40" i="5" l="1"/>
  <c r="H24" i="5" s="1"/>
  <c r="G24" i="5" s="1"/>
  <c r="P42" i="5"/>
  <c r="N24" i="5" s="1"/>
  <c r="L24" i="5" s="1"/>
  <c r="F38" i="4"/>
  <c r="K22" i="4"/>
  <c r="F22" i="4"/>
  <c r="H22" i="4"/>
  <c r="D38" i="5"/>
  <c r="F14" i="5" s="1"/>
  <c r="O32" i="5" s="1"/>
  <c r="O40" i="5" s="1"/>
  <c r="H25" i="5" s="1"/>
  <c r="V33" i="6"/>
  <c r="V32" i="6"/>
  <c r="V34" i="6"/>
  <c r="W32" i="6"/>
  <c r="W34" i="6"/>
  <c r="W33" i="6"/>
  <c r="S29" i="6"/>
  <c r="R32" i="6"/>
  <c r="R35" i="6"/>
  <c r="R34" i="6"/>
  <c r="E34" i="4"/>
  <c r="E31" i="4"/>
  <c r="D35" i="4"/>
  <c r="F31" i="4"/>
  <c r="E35" i="4"/>
  <c r="D38" i="4"/>
  <c r="D32" i="4"/>
  <c r="E38" i="4"/>
  <c r="E32" i="4"/>
  <c r="F32" i="4"/>
  <c r="F35" i="4"/>
  <c r="D34" i="4"/>
  <c r="D31" i="4"/>
  <c r="F34" i="4"/>
  <c r="E22" i="4"/>
  <c r="F37" i="4" l="1"/>
  <c r="F33" i="4"/>
  <c r="F36" i="4"/>
  <c r="O41" i="5"/>
  <c r="K25" i="5" s="1"/>
  <c r="O42" i="5"/>
  <c r="N25" i="5" s="1"/>
  <c r="O39" i="5"/>
  <c r="F25" i="5" s="1"/>
  <c r="G25" i="5" s="1"/>
  <c r="G57" i="5" s="1"/>
  <c r="G58" i="5" s="1"/>
  <c r="G59" i="5" s="1"/>
  <c r="G60" i="5" s="1"/>
  <c r="X33" i="6"/>
  <c r="X34" i="6"/>
  <c r="X32" i="6"/>
  <c r="S32" i="6"/>
  <c r="T32" i="6" s="1"/>
  <c r="S34" i="6"/>
  <c r="T34" i="6" s="1"/>
  <c r="S35" i="6"/>
  <c r="T35" i="6" s="1"/>
  <c r="S33" i="6"/>
  <c r="T33" i="6" s="1"/>
  <c r="D37" i="4"/>
  <c r="D33" i="4"/>
  <c r="E36" i="4"/>
  <c r="E37" i="4"/>
  <c r="F40" i="4"/>
  <c r="K14" i="4" s="1"/>
  <c r="K23" i="4" s="1"/>
  <c r="K55" i="4" s="1"/>
  <c r="K56" i="4" s="1"/>
  <c r="K57" i="4" s="1"/>
  <c r="K58" i="4" s="1"/>
  <c r="K25" i="4" s="1"/>
  <c r="E33" i="4"/>
  <c r="D36" i="4"/>
  <c r="E40" i="4" l="1"/>
  <c r="H14" i="4" s="1"/>
  <c r="H23" i="4" s="1"/>
  <c r="H55" i="4" s="1"/>
  <c r="H56" i="4" s="1"/>
  <c r="H57" i="4" s="1"/>
  <c r="H58" i="4" s="1"/>
  <c r="H25" i="4" s="1"/>
  <c r="D40" i="4"/>
  <c r="F14" i="4" s="1"/>
  <c r="F23" i="4" s="1"/>
  <c r="F55" i="4" s="1"/>
  <c r="F56" i="4" s="1"/>
  <c r="F57" i="4" s="1"/>
  <c r="F58" i="4" s="1"/>
  <c r="F25" i="4" s="1"/>
  <c r="S38" i="6"/>
  <c r="S39" i="6"/>
  <c r="S40" i="6"/>
  <c r="S41" i="6"/>
  <c r="L25" i="5"/>
  <c r="M57" i="5" s="1"/>
  <c r="M58" i="5" s="1"/>
  <c r="M59" i="5" s="1"/>
  <c r="G27" i="5"/>
  <c r="D33" i="2"/>
  <c r="E37" i="2"/>
  <c r="D37" i="2"/>
  <c r="E36" i="2"/>
  <c r="D36" i="2"/>
  <c r="E33" i="2"/>
  <c r="H12" i="3"/>
  <c r="H47" i="3" s="1"/>
  <c r="H48" i="3" s="1"/>
  <c r="H49" i="3" s="1"/>
  <c r="H50" i="3" s="1"/>
  <c r="H51" i="3" s="1"/>
  <c r="H21" i="3" s="1"/>
  <c r="M60" i="5" l="1"/>
  <c r="L27" i="5" s="1"/>
  <c r="O39" i="6"/>
  <c r="K24" i="6" s="1"/>
  <c r="K26" i="6" s="1"/>
  <c r="O37" i="6"/>
  <c r="G24" i="6" s="1"/>
  <c r="O38" i="6"/>
  <c r="I24" i="6" s="1"/>
  <c r="O40" i="6"/>
  <c r="O24" i="6" s="1"/>
  <c r="L24" i="6" l="1"/>
  <c r="F24" i="6"/>
  <c r="F26" i="6" s="1"/>
  <c r="H24" i="6"/>
  <c r="H26" i="6" s="1"/>
  <c r="N24" i="6"/>
  <c r="N26" i="6" s="1"/>
  <c r="F40" i="3"/>
  <c r="E40" i="3"/>
  <c r="D40" i="3"/>
  <c r="F12" i="3"/>
  <c r="F47" i="3" s="1"/>
  <c r="F48" i="3" s="1"/>
  <c r="F49" i="3" s="1"/>
  <c r="F50" i="3" s="1"/>
  <c r="F51" i="3" s="1"/>
  <c r="F21" i="3" s="1"/>
  <c r="F14" i="3" l="1"/>
  <c r="F23" i="3" s="1"/>
  <c r="E22" i="3"/>
  <c r="F22" i="3"/>
  <c r="H22" i="3"/>
  <c r="H14" i="3"/>
  <c r="H23" i="3" s="1"/>
  <c r="I27" i="6"/>
  <c r="E32" i="2"/>
  <c r="D32" i="2"/>
  <c r="F40" i="2"/>
  <c r="E38" i="2"/>
  <c r="E35" i="2"/>
  <c r="E34" i="2"/>
  <c r="E31" i="2"/>
  <c r="D38" i="2"/>
  <c r="D35" i="2"/>
  <c r="D31" i="2"/>
  <c r="D34" i="2"/>
  <c r="H22" i="2" l="1"/>
  <c r="F22" i="2"/>
  <c r="H25" i="3"/>
  <c r="H55" i="3"/>
  <c r="H56" i="3" s="1"/>
  <c r="H57" i="3" s="1"/>
  <c r="H58" i="3" s="1"/>
  <c r="F25" i="3"/>
  <c r="F55" i="3"/>
  <c r="F56" i="3" s="1"/>
  <c r="F57" i="3" s="1"/>
  <c r="F58" i="3" s="1"/>
  <c r="E22" i="2"/>
  <c r="E40" i="2"/>
  <c r="H14" i="2" s="1"/>
  <c r="H23" i="2" s="1"/>
  <c r="D40" i="2"/>
  <c r="F14" i="2" s="1"/>
  <c r="F23" i="2" s="1"/>
  <c r="H55" i="2" l="1"/>
  <c r="H56" i="2" s="1"/>
  <c r="H57" i="2" s="1"/>
  <c r="H58" i="2" s="1"/>
  <c r="H25" i="2" s="1"/>
  <c r="F55" i="2"/>
  <c r="F56" i="2" s="1"/>
  <c r="F57" i="2" s="1"/>
  <c r="F58" i="2" s="1"/>
  <c r="F25" i="2" s="1"/>
  <c r="K26" i="7"/>
  <c r="E49" i="7"/>
  <c r="E50" i="7"/>
</calcChain>
</file>

<file path=xl/sharedStrings.xml><?xml version="1.0" encoding="utf-8"?>
<sst xmlns="http://schemas.openxmlformats.org/spreadsheetml/2006/main" count="486" uniqueCount="121">
  <si>
    <t>Par:</t>
  </si>
  <si>
    <t>Forward Tee</t>
  </si>
  <si>
    <t>Back Tee</t>
  </si>
  <si>
    <t>Handicap Index</t>
  </si>
  <si>
    <t>Allowance</t>
  </si>
  <si>
    <t>Individual Medal</t>
  </si>
  <si>
    <t>Individual Stableford/Bogey</t>
  </si>
  <si>
    <t>Individual Matchplay</t>
  </si>
  <si>
    <t>Fourball Medal</t>
  </si>
  <si>
    <t>Fourball Stableford</t>
  </si>
  <si>
    <t>Fourball Matchplay</t>
  </si>
  <si>
    <t>Course Rating:</t>
  </si>
  <si>
    <t>Slope Rating:</t>
  </si>
  <si>
    <t>Adjustment</t>
  </si>
  <si>
    <t>Back</t>
  </si>
  <si>
    <t>Front</t>
  </si>
  <si>
    <t>CR-Par</t>
  </si>
  <si>
    <t>Handicap Index Example</t>
  </si>
  <si>
    <t>Course Handicap</t>
  </si>
  <si>
    <t>Playing Handicap</t>
  </si>
  <si>
    <t>Fourball Bogey/Par</t>
  </si>
  <si>
    <t>Choose Format Required=&gt;</t>
  </si>
  <si>
    <t>Handicap/Score Adjustment</t>
  </si>
  <si>
    <t>For Mixed Tee Events</t>
  </si>
  <si>
    <t>Individual Medal (Scratch)</t>
  </si>
  <si>
    <t>9 Holes</t>
  </si>
  <si>
    <t>England</t>
  </si>
  <si>
    <t>Wales</t>
  </si>
  <si>
    <t>Ireland</t>
  </si>
  <si>
    <t>Scotland</t>
  </si>
  <si>
    <t>Home Nation</t>
  </si>
  <si>
    <t>Middle</t>
  </si>
  <si>
    <t>`</t>
  </si>
  <si>
    <t>CR</t>
  </si>
  <si>
    <t>Min</t>
  </si>
  <si>
    <t>Par</t>
  </si>
  <si>
    <t>Tee1</t>
  </si>
  <si>
    <t>Tee2</t>
  </si>
  <si>
    <t>Tee3</t>
  </si>
  <si>
    <t>Team Competitions</t>
  </si>
  <si>
    <t>Tee4</t>
  </si>
  <si>
    <t>Tee1`</t>
  </si>
  <si>
    <t>Player 2</t>
  </si>
  <si>
    <t>Player 3</t>
  </si>
  <si>
    <t>Player 4</t>
  </si>
  <si>
    <t>Player 1</t>
  </si>
  <si>
    <t>Tee 1</t>
  </si>
  <si>
    <t>Tee 2</t>
  </si>
  <si>
    <t>Tee 3</t>
  </si>
  <si>
    <t>Tee 4</t>
  </si>
  <si>
    <t>Tee Used:</t>
  </si>
  <si>
    <t>Slope</t>
  </si>
  <si>
    <t>Adjust</t>
  </si>
  <si>
    <t>Alowance</t>
  </si>
  <si>
    <t>Foursomes</t>
  </si>
  <si>
    <t>Team</t>
  </si>
  <si>
    <t>Greensomes</t>
  </si>
  <si>
    <t>Foursomes Medal</t>
  </si>
  <si>
    <t>Foursomes Stableford</t>
  </si>
  <si>
    <t>For Scratch Medal Adjustment is applied as a reduction to the Gross Score of players on that tee.</t>
  </si>
  <si>
    <t>Greensomes Stableford</t>
  </si>
  <si>
    <t>Greensomes Medal</t>
  </si>
  <si>
    <t>Round?</t>
  </si>
  <si>
    <t>N</t>
  </si>
  <si>
    <t>Y</t>
  </si>
  <si>
    <t>Scramble - 4 Players</t>
  </si>
  <si>
    <t>Scramble - 3 Players</t>
  </si>
  <si>
    <t>Team Handicap</t>
  </si>
  <si>
    <t>HI</t>
  </si>
  <si>
    <t>4 players</t>
  </si>
  <si>
    <t>3 players</t>
  </si>
  <si>
    <t>4 Players</t>
  </si>
  <si>
    <t>3 Players</t>
  </si>
  <si>
    <t>Course Hcp</t>
  </si>
  <si>
    <t>HI x slope</t>
  </si>
  <si>
    <t>Foursomes Matchplay</t>
  </si>
  <si>
    <t>Greensomes Matchplay</t>
  </si>
  <si>
    <t>M</t>
  </si>
  <si>
    <t>S</t>
  </si>
  <si>
    <t>P</t>
  </si>
  <si>
    <t>Team - 1 out of 4</t>
  </si>
  <si>
    <t>Team - 2 out of 4</t>
  </si>
  <si>
    <t>Team - 4 out of 4</t>
  </si>
  <si>
    <t>Team - 3 out of 4</t>
  </si>
  <si>
    <t>Team - 1 out of 3</t>
  </si>
  <si>
    <t>Team - 2 out of 3</t>
  </si>
  <si>
    <t>Team - 3 out of 3</t>
  </si>
  <si>
    <t>Medal</t>
  </si>
  <si>
    <t>Stableford</t>
  </si>
  <si>
    <t>Bogey/Par</t>
  </si>
  <si>
    <t>Stableford/Bogey</t>
  </si>
  <si>
    <t>Max</t>
  </si>
  <si>
    <t>Overall</t>
  </si>
  <si>
    <t>Stroke</t>
  </si>
  <si>
    <t>Bogey</t>
  </si>
  <si>
    <t>rounded</t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</si>
  <si>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</si>
  <si>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r>
      <t xml:space="preserve">Handicap Adjustments are to be applied </t>
    </r>
    <r>
      <rPr>
        <b/>
        <sz val="11"/>
        <rFont val="Calibri"/>
        <family val="2"/>
        <scheme val="minor"/>
      </rPr>
      <t>after</t>
    </r>
    <r>
      <rPr>
        <sz val="11"/>
        <rFont val="Calibri"/>
        <family val="2"/>
        <scheme val="minor"/>
      </rPr>
      <t xml:space="preserve"> calculating any Handicap Allowance fraction for the competition  format (as shown above)</t>
    </r>
  </si>
  <si>
    <r>
      <t>Handicap Adjustments are to be applied a</t>
    </r>
    <r>
      <rPr>
        <b/>
        <sz val="11"/>
        <rFont val="Calibri"/>
        <family val="2"/>
        <scheme val="minor"/>
      </rPr>
      <t>fter</t>
    </r>
    <r>
      <rPr>
        <sz val="11"/>
        <rFont val="Calibri"/>
        <family val="2"/>
        <scheme val="minor"/>
      </rPr>
      <t xml:space="preserve"> calculating any Handicap Allowance fraction for the competition format (as shown above)</t>
    </r>
  </si>
  <si>
    <t>2 Players</t>
  </si>
  <si>
    <t>Scramble - 2 Players</t>
  </si>
  <si>
    <t>Integer</t>
  </si>
  <si>
    <t>decimal</t>
  </si>
  <si>
    <t>rounding</t>
  </si>
  <si>
    <t>18 hole calc</t>
  </si>
  <si>
    <t>Rest</t>
  </si>
  <si>
    <t>9 Hole Calc</t>
  </si>
  <si>
    <t>Holes</t>
  </si>
  <si>
    <t>Need to work out the</t>
  </si>
  <si>
    <t>Course Handicaps depending</t>
  </si>
  <si>
    <t>on whether its 9 holes or 18 holes</t>
  </si>
  <si>
    <t>if 9 holes, need to take account of CR-Par</t>
  </si>
  <si>
    <t>otherwise not</t>
  </si>
  <si>
    <t>18 HOLE</t>
  </si>
  <si>
    <t>9 HOLE</t>
  </si>
  <si>
    <r>
      <t>Course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</si>
  <si>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Slope Rating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>:</t>
    </r>
  </si>
  <si>
    <r>
      <t>Course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</si>
  <si>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Playing Handicap</t>
    </r>
    <r>
      <rPr>
        <vertAlign val="superscript"/>
        <sz val="10"/>
        <color theme="1"/>
        <rFont val="Calibri"/>
        <family val="2"/>
        <scheme val="minor"/>
      </rPr>
      <t>TM</t>
    </r>
  </si>
  <si>
    <r>
      <t>Handicap Index</t>
    </r>
    <r>
      <rPr>
        <b/>
        <vertAlign val="superscript"/>
        <sz val="10"/>
        <color theme="1"/>
        <rFont val="Calibri"/>
        <family val="2"/>
        <scheme val="minor"/>
      </rPr>
      <t>TM</t>
    </r>
    <r>
      <rPr>
        <b/>
        <sz val="11"/>
        <color theme="1"/>
        <rFont val="Calibri"/>
        <family val="2"/>
        <scheme val="minor"/>
      </rPr>
      <t xml:space="preserve"> Example</t>
    </r>
  </si>
  <si>
    <t>Version 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</si>
</sst>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00"/>
    <numFmt numFmtId="166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0" fillId="5" borderId="6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0" xfId="0" applyFont="1" applyFill="1"/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" fillId="3" borderId="0" xfId="0" applyFont="1" applyFill="1"/>
    <xf numFmtId="9" fontId="0" fillId="5" borderId="6" xfId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10" fillId="0" borderId="0" xfId="0" applyFont="1"/>
    <xf numFmtId="0" fontId="11" fillId="3" borderId="4" xfId="0" applyFont="1" applyFill="1" applyBorder="1" applyAlignment="1">
      <alignment horizontal="right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2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right" vertic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9" fontId="14" fillId="5" borderId="6" xfId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0" xfId="0" applyFont="1" applyFill="1"/>
    <xf numFmtId="0" fontId="12" fillId="4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9" fontId="14" fillId="3" borderId="0" xfId="1" applyFont="1" applyFill="1" applyBorder="1" applyAlignment="1" applyProtection="1">
      <alignment horizontal="center"/>
    </xf>
    <xf numFmtId="0" fontId="14" fillId="5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64" fontId="1" fillId="3" borderId="2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right"/>
    </xf>
    <xf numFmtId="164" fontId="5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/>
    </xf>
    <xf numFmtId="165" fontId="0" fillId="0" borderId="0" xfId="0" applyNumberFormat="1"/>
    <xf numFmtId="1" fontId="0" fillId="5" borderId="26" xfId="0" applyNumberFormat="1" applyFill="1" applyBorder="1" applyAlignment="1">
      <alignment horizontal="center"/>
    </xf>
    <xf numFmtId="2" fontId="0" fillId="0" borderId="0" xfId="0" applyNumberFormat="1"/>
    <xf numFmtId="1" fontId="15" fillId="5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6" borderId="0" xfId="0" applyFill="1"/>
    <xf numFmtId="9" fontId="14" fillId="3" borderId="0" xfId="1" applyFont="1" applyFill="1" applyBorder="1" applyAlignment="1" applyProtection="1">
      <alignment horizontal="left"/>
    </xf>
    <xf numFmtId="9" fontId="0" fillId="3" borderId="5" xfId="1" applyFont="1" applyFill="1" applyBorder="1" applyAlignment="1" applyProtection="1">
      <alignment horizontal="left"/>
    </xf>
    <xf numFmtId="2" fontId="14" fillId="5" borderId="0" xfId="0" applyNumberFormat="1" applyFont="1" applyFill="1" applyAlignment="1">
      <alignment horizontal="center"/>
    </xf>
    <xf numFmtId="0" fontId="4" fillId="0" borderId="0" xfId="0" applyFont="1"/>
    <xf numFmtId="2" fontId="14" fillId="5" borderId="6" xfId="0" applyNumberFormat="1" applyFon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10" fillId="3" borderId="0" xfId="0" applyFont="1" applyFill="1"/>
    <xf numFmtId="0" fontId="18" fillId="3" borderId="4" xfId="0" applyFont="1" applyFill="1" applyBorder="1"/>
    <xf numFmtId="164" fontId="1" fillId="2" borderId="0" xfId="0" applyNumberFormat="1" applyFont="1" applyFill="1" applyAlignment="1" applyProtection="1">
      <alignment horizontal="left" vertical="center"/>
      <protection locked="0"/>
    </xf>
    <xf numFmtId="164" fontId="14" fillId="5" borderId="0" xfId="0" applyNumberFormat="1" applyFont="1" applyFill="1" applyAlignment="1">
      <alignment horizontal="center"/>
    </xf>
    <xf numFmtId="164" fontId="12" fillId="3" borderId="0" xfId="0" applyNumberFormat="1" applyFont="1" applyFill="1"/>
    <xf numFmtId="0" fontId="12" fillId="3" borderId="0" xfId="0" applyFont="1" applyFill="1"/>
    <xf numFmtId="1" fontId="0" fillId="0" borderId="0" xfId="0" applyNumberFormat="1"/>
    <xf numFmtId="9" fontId="0" fillId="0" borderId="0" xfId="0" applyNumberFormat="1"/>
    <xf numFmtId="16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4" fillId="0" borderId="0" xfId="0" applyNumberFormat="1" applyFont="1"/>
    <xf numFmtId="0" fontId="1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/>
    </xf>
    <xf numFmtId="1" fontId="12" fillId="4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52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" formatCode="0"/>
    </dxf>
    <dxf>
      <numFmt numFmtId="1" formatCode="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numFmt numFmtId="165" formatCode="0.000"/>
    </dxf>
    <dxf>
      <numFmt numFmtId="165" formatCode="0.000"/>
    </dxf>
    <dxf>
      <font>
        <color theme="9" tint="0.79998168889431442"/>
      </font>
      <border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font>
        <color theme="0"/>
      </font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border>
        <bottom style="thin">
          <color auto="1"/>
        </bottom>
        <vertical/>
        <horizontal/>
      </border>
    </dxf>
    <dxf>
      <font>
        <color theme="9" tint="0.7999816888943144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 xr9:uid="{18027F5A-A5BA-48F9-B209-3639C84509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671549</xdr:colOff>
      <xdr:row>3</xdr:row>
      <xdr:rowOff>109535</xdr:rowOff>
    </xdr:from>
    <xdr:to>
      <xdr:col>3</xdr:col>
      <xdr:colOff>0</xdr:colOff>
      <xdr:row>8</xdr:row>
      <xdr:rowOff>71435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62CB37-7F88-485A-AB28-9F031A8CD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74" y="657223"/>
          <a:ext cx="842926" cy="938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671549</xdr:colOff>
      <xdr:row>3</xdr:row>
      <xdr:rowOff>109535</xdr:rowOff>
    </xdr:from>
    <xdr:to>
      <xdr:col>3</xdr:col>
      <xdr:colOff>0</xdr:colOff>
      <xdr:row>8</xdr:row>
      <xdr:rowOff>100011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FC1ED-622E-4A72-A737-F8C4BD3A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74" y="728660"/>
          <a:ext cx="842926" cy="966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742986</xdr:colOff>
      <xdr:row>4</xdr:row>
      <xdr:rowOff>47623</xdr:rowOff>
    </xdr:from>
    <xdr:to>
      <xdr:col>3</xdr:col>
      <xdr:colOff>4762</xdr:colOff>
      <xdr:row>8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81B01-17D3-4625-A606-8511B443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011" y="947736"/>
          <a:ext cx="842926" cy="938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109535</xdr:rowOff>
    </xdr:from>
    <xdr:to>
      <xdr:col>2</xdr:col>
      <xdr:colOff>1500187</xdr:colOff>
      <xdr:row>9</xdr:row>
      <xdr:rowOff>233364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2A45C-AFCD-497E-B504-56DF3C4F9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8"/>
          <a:ext cx="842926" cy="919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109534</xdr:rowOff>
    </xdr:from>
    <xdr:to>
      <xdr:col>2</xdr:col>
      <xdr:colOff>1500187</xdr:colOff>
      <xdr:row>9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2FCA4A-88EE-4E70-8861-130A0A718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7"/>
          <a:ext cx="842926" cy="914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657261</xdr:colOff>
      <xdr:row>5</xdr:row>
      <xdr:rowOff>109534</xdr:rowOff>
    </xdr:from>
    <xdr:to>
      <xdr:col>2</xdr:col>
      <xdr:colOff>1500187</xdr:colOff>
      <xdr:row>10</xdr:row>
      <xdr:rowOff>119062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8E239-2C5E-488C-ADED-77576AB57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86" y="1219197"/>
          <a:ext cx="842926" cy="91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F750-7B64-4739-A719-D98C889168A7}">
  <dimension ref="A1:U58"/>
  <sheetViews>
    <sheetView tabSelected="1" workbookViewId="0">
      <selection activeCell="F9" sqref="F9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  <col min="10" max="13" width="0" style="92" hidden="1" customWidth="1"/>
    <col min="14" max="18" width="9" style="92"/>
  </cols>
  <sheetData>
    <row r="1" spans="3:21" ht="15.75" thickBot="1" x14ac:dyDescent="0.3">
      <c r="S1" s="23"/>
      <c r="T1" s="23"/>
      <c r="U1" s="23"/>
    </row>
    <row r="2" spans="3:21" x14ac:dyDescent="0.25">
      <c r="C2" s="108" t="s">
        <v>22</v>
      </c>
      <c r="D2" s="109"/>
      <c r="E2" s="2"/>
      <c r="F2" s="2"/>
      <c r="G2" s="2"/>
      <c r="H2" s="2"/>
      <c r="I2" s="3"/>
      <c r="S2" s="23"/>
      <c r="T2" s="23"/>
      <c r="U2" s="23"/>
    </row>
    <row r="3" spans="3:21" ht="20.100000000000001" customHeight="1" x14ac:dyDescent="0.25">
      <c r="C3" s="110" t="s">
        <v>23</v>
      </c>
      <c r="D3" s="111"/>
      <c r="E3" s="5"/>
      <c r="F3" s="30" t="s">
        <v>30</v>
      </c>
      <c r="G3" s="33" t="s">
        <v>26</v>
      </c>
      <c r="H3" s="5"/>
      <c r="I3" s="6"/>
      <c r="S3" s="23"/>
      <c r="T3" s="23"/>
      <c r="U3" s="23"/>
    </row>
    <row r="4" spans="3:21" x14ac:dyDescent="0.25">
      <c r="C4" s="53"/>
      <c r="D4" s="54"/>
      <c r="E4" s="5"/>
      <c r="F4" s="5"/>
      <c r="G4" s="5"/>
      <c r="H4" s="5"/>
      <c r="I4" s="6"/>
      <c r="S4" s="23"/>
      <c r="T4" s="23"/>
      <c r="U4" s="23"/>
    </row>
    <row r="5" spans="3:21" ht="20.100000000000001" customHeight="1" x14ac:dyDescent="0.25">
      <c r="C5" s="4"/>
      <c r="D5" s="5"/>
      <c r="E5" s="31" t="s">
        <v>21</v>
      </c>
      <c r="F5" s="32"/>
      <c r="G5" s="34" t="s">
        <v>6</v>
      </c>
      <c r="H5" s="5"/>
      <c r="I5" s="6"/>
      <c r="S5" s="23"/>
      <c r="T5" s="23"/>
      <c r="U5" s="23"/>
    </row>
    <row r="6" spans="3:21" x14ac:dyDescent="0.25">
      <c r="C6" s="4"/>
      <c r="D6" s="5"/>
      <c r="E6" s="5"/>
      <c r="F6" s="5"/>
      <c r="G6" s="5"/>
      <c r="H6" s="5"/>
      <c r="I6" s="6"/>
      <c r="S6" s="23"/>
      <c r="T6" s="23"/>
      <c r="U6" s="23"/>
    </row>
    <row r="7" spans="3:21" x14ac:dyDescent="0.25">
      <c r="C7" s="4"/>
      <c r="D7" s="5"/>
      <c r="E7" s="5"/>
      <c r="F7" s="18" t="s">
        <v>2</v>
      </c>
      <c r="G7" s="5"/>
      <c r="H7" s="18" t="s">
        <v>1</v>
      </c>
      <c r="I7" s="6"/>
      <c r="K7" s="92" t="s">
        <v>46</v>
      </c>
      <c r="M7" s="92" t="s">
        <v>47</v>
      </c>
      <c r="S7" s="23"/>
      <c r="T7" s="23"/>
      <c r="U7" s="23"/>
    </row>
    <row r="8" spans="3:21" x14ac:dyDescent="0.25">
      <c r="C8" s="4"/>
      <c r="D8" s="5"/>
      <c r="E8" s="5"/>
      <c r="F8" s="5"/>
      <c r="G8" s="5"/>
      <c r="H8" s="5"/>
      <c r="I8" s="6"/>
      <c r="S8" s="23"/>
      <c r="T8" s="23"/>
      <c r="U8" s="23"/>
    </row>
    <row r="9" spans="3:21" ht="20.100000000000001" customHeight="1" x14ac:dyDescent="0.25">
      <c r="C9" s="4"/>
      <c r="D9" s="5"/>
      <c r="E9" s="7" t="s">
        <v>115</v>
      </c>
      <c r="F9" s="46">
        <v>71.2</v>
      </c>
      <c r="G9" s="7" t="s">
        <v>11</v>
      </c>
      <c r="H9" s="46">
        <v>72.400000000000006</v>
      </c>
      <c r="I9" s="6"/>
      <c r="J9" s="92" t="s">
        <v>16</v>
      </c>
      <c r="K9" s="106">
        <f>F9-F10</f>
        <v>0.20000000000000284</v>
      </c>
      <c r="L9" s="106"/>
      <c r="M9" s="106">
        <f>H9-H10</f>
        <v>-1.5999999999999943</v>
      </c>
      <c r="N9" s="106"/>
      <c r="S9" s="23"/>
      <c r="T9" s="23"/>
      <c r="U9" s="23"/>
    </row>
    <row r="10" spans="3:21" ht="20.100000000000001" customHeight="1" x14ac:dyDescent="0.25">
      <c r="C10" s="4"/>
      <c r="D10" s="5"/>
      <c r="E10" s="7" t="s">
        <v>0</v>
      </c>
      <c r="F10" s="29">
        <v>71</v>
      </c>
      <c r="G10" s="7" t="s">
        <v>0</v>
      </c>
      <c r="H10" s="29">
        <v>74</v>
      </c>
      <c r="I10" s="6"/>
      <c r="J10" s="92" t="s">
        <v>101</v>
      </c>
      <c r="K10" s="106">
        <f>TRUNC(K9)</f>
        <v>0</v>
      </c>
      <c r="M10" s="106">
        <f>TRUNC(M9)</f>
        <v>-1</v>
      </c>
      <c r="N10" s="106"/>
      <c r="R10" s="23"/>
      <c r="S10" s="23"/>
      <c r="T10" s="23"/>
    </row>
    <row r="11" spans="3:21" ht="20.100000000000001" customHeight="1" x14ac:dyDescent="0.25">
      <c r="C11" s="4"/>
      <c r="D11" s="5"/>
      <c r="E11" s="7" t="s">
        <v>116</v>
      </c>
      <c r="F11" s="29">
        <v>127</v>
      </c>
      <c r="G11" s="7" t="s">
        <v>12</v>
      </c>
      <c r="H11" s="29">
        <v>128</v>
      </c>
      <c r="I11" s="6"/>
      <c r="J11" s="92" t="s">
        <v>102</v>
      </c>
      <c r="K11" s="106">
        <f>K9-K10</f>
        <v>0.20000000000000284</v>
      </c>
      <c r="M11" s="106">
        <f>M9-M10</f>
        <v>-0.59999999999999432</v>
      </c>
      <c r="S11" s="23"/>
      <c r="T11" s="23"/>
      <c r="U11" s="23"/>
    </row>
    <row r="12" spans="3:21" x14ac:dyDescent="0.25">
      <c r="C12" s="4"/>
      <c r="D12" s="5"/>
      <c r="E12" s="10" t="s">
        <v>16</v>
      </c>
      <c r="F12" s="35">
        <f>IF(F9&gt;0,36-K12,0)</f>
        <v>36</v>
      </c>
      <c r="G12" s="10" t="s">
        <v>16</v>
      </c>
      <c r="H12" s="35">
        <f>IF(H9&gt;0,36-M12,0)</f>
        <v>38</v>
      </c>
      <c r="I12" s="6"/>
      <c r="J12" s="92" t="s">
        <v>103</v>
      </c>
      <c r="K12" s="92">
        <f>IF(K9&lt;0,IF(K11&lt;-0.5,K10-1,K10),ROUND(K9,0))</f>
        <v>0</v>
      </c>
      <c r="M12" s="92">
        <f>IF(M9&lt;0,IF(M11&lt;-0.5,M10-1,M10),ROUND(M9,0))</f>
        <v>-2</v>
      </c>
      <c r="S12" s="23"/>
      <c r="T12" s="23"/>
      <c r="U12" s="23"/>
    </row>
    <row r="13" spans="3:21" x14ac:dyDescent="0.25">
      <c r="C13" s="4"/>
      <c r="D13" s="5"/>
      <c r="E13" s="5"/>
      <c r="F13" s="5"/>
      <c r="G13" s="5"/>
      <c r="H13" s="5"/>
      <c r="I13" s="6"/>
      <c r="S13" s="23"/>
      <c r="T13" s="23"/>
      <c r="U13" s="23"/>
    </row>
    <row r="14" spans="3:21" ht="15.75" x14ac:dyDescent="0.25">
      <c r="C14" s="4"/>
      <c r="D14" s="5"/>
      <c r="E14" s="27" t="s">
        <v>13</v>
      </c>
      <c r="F14" s="28">
        <f>D40</f>
        <v>2</v>
      </c>
      <c r="G14" s="26"/>
      <c r="H14" s="28">
        <f>E40</f>
        <v>0</v>
      </c>
      <c r="I14" s="6"/>
      <c r="S14" s="23"/>
      <c r="T14" s="23"/>
      <c r="U14" s="23"/>
    </row>
    <row r="15" spans="3:21" x14ac:dyDescent="0.25">
      <c r="C15" s="4"/>
      <c r="D15" s="5"/>
      <c r="E15" s="7"/>
      <c r="F15" s="8"/>
      <c r="G15" s="5"/>
      <c r="H15" s="8"/>
      <c r="I15" s="6"/>
      <c r="S15" s="23"/>
      <c r="T15" s="23"/>
      <c r="U15" s="23"/>
    </row>
    <row r="16" spans="3:21" x14ac:dyDescent="0.25">
      <c r="C16" s="118" t="s">
        <v>59</v>
      </c>
      <c r="D16" s="119"/>
      <c r="E16" s="119"/>
      <c r="F16" s="119"/>
      <c r="G16" s="119"/>
      <c r="H16" s="119"/>
      <c r="I16" s="120"/>
      <c r="S16" s="23"/>
      <c r="T16" s="23"/>
      <c r="U16" s="23"/>
    </row>
    <row r="17" spans="1:21" x14ac:dyDescent="0.25">
      <c r="C17" s="4"/>
      <c r="D17" s="5"/>
      <c r="E17" s="5"/>
      <c r="F17" s="5"/>
      <c r="G17" s="5"/>
      <c r="H17" s="5"/>
      <c r="I17" s="6"/>
      <c r="S17" s="23"/>
      <c r="T17" s="23"/>
      <c r="U17" s="23"/>
    </row>
    <row r="18" spans="1:21" ht="15.75" x14ac:dyDescent="0.25">
      <c r="C18" s="4"/>
      <c r="D18" s="57" t="s">
        <v>119</v>
      </c>
      <c r="E18" s="5"/>
      <c r="F18" s="5"/>
      <c r="G18" s="5"/>
      <c r="H18" s="5"/>
      <c r="I18" s="6"/>
      <c r="S18" s="23"/>
      <c r="T18" s="23"/>
      <c r="U18" s="23"/>
    </row>
    <row r="19" spans="1:21" x14ac:dyDescent="0.25">
      <c r="C19" s="4"/>
      <c r="D19" s="9" t="s">
        <v>3</v>
      </c>
      <c r="E19" s="5"/>
      <c r="F19" s="20">
        <v>10</v>
      </c>
      <c r="G19" s="5"/>
      <c r="H19" s="20">
        <v>20</v>
      </c>
      <c r="I19" s="6"/>
      <c r="S19" s="23"/>
      <c r="T19" s="23"/>
      <c r="U19" s="23"/>
    </row>
    <row r="20" spans="1:21" ht="4.1500000000000004" customHeight="1" x14ac:dyDescent="0.25">
      <c r="C20" s="4"/>
      <c r="D20" s="7"/>
      <c r="E20" s="5"/>
      <c r="F20" s="45"/>
      <c r="G20" s="5"/>
      <c r="H20" s="45"/>
      <c r="I20" s="6"/>
      <c r="S20" s="23"/>
      <c r="T20" s="23"/>
      <c r="U20" s="23"/>
    </row>
    <row r="21" spans="1:21" ht="15.75" x14ac:dyDescent="0.25">
      <c r="C21" s="4"/>
      <c r="D21" s="9" t="s">
        <v>117</v>
      </c>
      <c r="E21" s="5"/>
      <c r="F21" s="77">
        <f>F51</f>
        <v>11</v>
      </c>
      <c r="G21" s="42"/>
      <c r="H21" s="77">
        <f>H51</f>
        <v>23</v>
      </c>
      <c r="I21" s="6"/>
      <c r="S21" s="23"/>
      <c r="T21" s="23"/>
      <c r="U21" s="23"/>
    </row>
    <row r="22" spans="1:21" x14ac:dyDescent="0.25">
      <c r="C22" s="4"/>
      <c r="D22" s="7" t="s">
        <v>4</v>
      </c>
      <c r="E22" s="44">
        <f>F40</f>
        <v>0.95</v>
      </c>
      <c r="F22" s="93">
        <f>IF(G3="Scotland",ROUND(F21*F40,3),ROUND(F21*F40,3))</f>
        <v>10.45</v>
      </c>
      <c r="G22" s="42"/>
      <c r="H22" s="93">
        <f>IF(G3="Scotland",ROUND(H21*F40,3),ROUND(H21*F40,3))</f>
        <v>21.85</v>
      </c>
      <c r="I22" s="6"/>
      <c r="S22" s="23"/>
      <c r="T22" s="23"/>
      <c r="U22" s="23"/>
    </row>
    <row r="23" spans="1:21" x14ac:dyDescent="0.25">
      <c r="C23" s="4"/>
      <c r="D23" s="9" t="s">
        <v>13</v>
      </c>
      <c r="E23" s="5"/>
      <c r="F23" s="55">
        <f>F14</f>
        <v>2</v>
      </c>
      <c r="G23" s="43"/>
      <c r="H23" s="55">
        <f>H14</f>
        <v>0</v>
      </c>
      <c r="I23" s="6"/>
      <c r="S23" s="23"/>
      <c r="T23" s="23"/>
      <c r="U23" s="23"/>
    </row>
    <row r="24" spans="1:21" x14ac:dyDescent="0.25">
      <c r="C24" s="4"/>
      <c r="D24" s="7"/>
      <c r="E24" s="5"/>
      <c r="F24" s="8"/>
      <c r="G24" s="8"/>
      <c r="H24" s="8"/>
      <c r="I24" s="6"/>
      <c r="S24" s="23"/>
      <c r="T24" s="23"/>
      <c r="U24" s="23"/>
    </row>
    <row r="25" spans="1:21" ht="15.75" x14ac:dyDescent="0.25">
      <c r="C25" s="4"/>
      <c r="D25" s="24" t="s">
        <v>118</v>
      </c>
      <c r="E25" s="25"/>
      <c r="F25" s="28">
        <f>F58</f>
        <v>12</v>
      </c>
      <c r="G25" s="26"/>
      <c r="H25" s="28">
        <f>H58</f>
        <v>22</v>
      </c>
      <c r="I25" s="6"/>
      <c r="S25" s="23"/>
      <c r="T25" s="23"/>
      <c r="U25" s="23"/>
    </row>
    <row r="26" spans="1:21" x14ac:dyDescent="0.25">
      <c r="C26" s="4"/>
      <c r="D26" s="5"/>
      <c r="E26" s="5"/>
      <c r="F26" s="5"/>
      <c r="G26" s="5"/>
      <c r="H26" s="5"/>
      <c r="I26" s="6"/>
      <c r="S26" s="23"/>
      <c r="T26" s="23"/>
      <c r="U26" s="23"/>
    </row>
    <row r="27" spans="1:21" x14ac:dyDescent="0.25">
      <c r="C27" s="97" t="s">
        <v>120</v>
      </c>
      <c r="D27" s="5"/>
      <c r="E27" s="5"/>
      <c r="F27" s="5"/>
      <c r="G27" s="5"/>
      <c r="H27" s="5"/>
      <c r="I27" s="6"/>
      <c r="S27" s="23"/>
      <c r="T27" s="23"/>
      <c r="U27" s="23"/>
    </row>
    <row r="28" spans="1:21" x14ac:dyDescent="0.25">
      <c r="C28" s="112" t="s">
        <v>96</v>
      </c>
      <c r="D28" s="113"/>
      <c r="E28" s="113"/>
      <c r="F28" s="113"/>
      <c r="G28" s="113"/>
      <c r="H28" s="113"/>
      <c r="I28" s="114"/>
      <c r="S28" s="23"/>
      <c r="T28" s="23"/>
      <c r="U28" s="23"/>
    </row>
    <row r="29" spans="1:21" ht="15.75" thickBot="1" x14ac:dyDescent="0.3">
      <c r="C29" s="115"/>
      <c r="D29" s="116"/>
      <c r="E29" s="116"/>
      <c r="F29" s="116"/>
      <c r="G29" s="116"/>
      <c r="H29" s="116"/>
      <c r="I29" s="117"/>
      <c r="S29" s="23"/>
      <c r="T29" s="23"/>
      <c r="U29" s="23"/>
    </row>
    <row r="30" spans="1:21" hidden="1" x14ac:dyDescent="0.25">
      <c r="D30" t="s">
        <v>14</v>
      </c>
      <c r="E30" t="s">
        <v>15</v>
      </c>
      <c r="S30" s="23"/>
      <c r="T30" s="23"/>
      <c r="U30" s="23"/>
    </row>
    <row r="31" spans="1:21" hidden="1" x14ac:dyDescent="0.25">
      <c r="A31">
        <v>1</v>
      </c>
      <c r="C31" t="s">
        <v>5</v>
      </c>
      <c r="D31" s="1">
        <f>IF($H$9&gt;$F$9,0,$F$9-$H$9)</f>
        <v>0</v>
      </c>
      <c r="E31" s="1">
        <f>IF($F$9&gt;$H$9,0,$H$9-$F$9)</f>
        <v>1.2000000000000028</v>
      </c>
      <c r="F31">
        <v>0.95</v>
      </c>
      <c r="S31" s="23"/>
      <c r="T31" s="23"/>
      <c r="U31" s="23"/>
    </row>
    <row r="32" spans="1:21" hidden="1" x14ac:dyDescent="0.25">
      <c r="A32">
        <v>2</v>
      </c>
      <c r="C32" t="s">
        <v>24</v>
      </c>
      <c r="D32" s="1">
        <f>ROUND(IF($H$9&gt;$F$9,0,$F$9-$H$9),0)</f>
        <v>0</v>
      </c>
      <c r="E32" s="1">
        <f>ROUND(IF($F$9&gt;$H$9,0,$H$9-$F$9),0)</f>
        <v>1</v>
      </c>
      <c r="F32">
        <v>1</v>
      </c>
      <c r="S32" s="23"/>
      <c r="T32" s="23"/>
      <c r="U32" s="23"/>
    </row>
    <row r="33" spans="1:21" hidden="1" x14ac:dyDescent="0.25">
      <c r="A33">
        <v>3</v>
      </c>
      <c r="C33" t="s">
        <v>6</v>
      </c>
      <c r="D33" s="1">
        <f>IF($F$12&gt;$H$12,0,$H$12-$F$12)</f>
        <v>2</v>
      </c>
      <c r="E33" s="1">
        <f>IF($H$12&gt;$F$12,0,$F$12-$H$12)</f>
        <v>0</v>
      </c>
      <c r="F33">
        <v>0.95</v>
      </c>
      <c r="S33" s="23"/>
      <c r="T33" s="23"/>
      <c r="U33" s="23"/>
    </row>
    <row r="34" spans="1:21" hidden="1" x14ac:dyDescent="0.25">
      <c r="A34">
        <v>4</v>
      </c>
      <c r="C34" t="s">
        <v>7</v>
      </c>
      <c r="D34" s="1">
        <f>IF(H9&gt;F9,0,F9-H9)</f>
        <v>0</v>
      </c>
      <c r="E34" s="1">
        <f>IF($F$9&gt;$H$9,0,$H$9-$F$9)</f>
        <v>1.2000000000000028</v>
      </c>
      <c r="F34">
        <v>1</v>
      </c>
      <c r="S34" s="23"/>
      <c r="T34" s="23"/>
      <c r="U34" s="23"/>
    </row>
    <row r="35" spans="1:21" hidden="1" x14ac:dyDescent="0.25">
      <c r="A35">
        <v>5</v>
      </c>
      <c r="C35" t="s">
        <v>8</v>
      </c>
      <c r="D35" s="1">
        <f>IF($H$9&gt;$F$9,0,$F$9-$H$9)</f>
        <v>0</v>
      </c>
      <c r="E35" s="1">
        <f>IF($F$9&gt;$H$9,0,$H$9-$F$9)</f>
        <v>1.2000000000000028</v>
      </c>
      <c r="F35">
        <v>0.85</v>
      </c>
      <c r="S35" s="23"/>
      <c r="T35" s="23"/>
      <c r="U35" s="23"/>
    </row>
    <row r="36" spans="1:21" hidden="1" x14ac:dyDescent="0.25">
      <c r="A36">
        <v>6</v>
      </c>
      <c r="C36" t="s">
        <v>9</v>
      </c>
      <c r="D36" s="1">
        <f>IF($F$12&gt;$H$12,0,$H$12-$F$12)</f>
        <v>2</v>
      </c>
      <c r="E36" s="1">
        <f>IF($H$12&gt;$F$12,0,$F$12-$H$12)</f>
        <v>0</v>
      </c>
      <c r="F36">
        <v>0.85</v>
      </c>
      <c r="S36" s="23"/>
      <c r="T36" s="23"/>
      <c r="U36" s="23"/>
    </row>
    <row r="37" spans="1:21" hidden="1" x14ac:dyDescent="0.25">
      <c r="A37">
        <v>7</v>
      </c>
      <c r="C37" t="s">
        <v>20</v>
      </c>
      <c r="D37" s="1">
        <f>IF($F$12&gt;$H$12,0,$H$12-$F$12)</f>
        <v>2</v>
      </c>
      <c r="E37" s="1">
        <f>IF($H$12&gt;$F$12,0,$F$12-$H$12)</f>
        <v>0</v>
      </c>
      <c r="F37">
        <v>0.9</v>
      </c>
      <c r="S37" s="23"/>
      <c r="T37" s="23"/>
      <c r="U37" s="23"/>
    </row>
    <row r="38" spans="1:21" hidden="1" x14ac:dyDescent="0.25">
      <c r="A38">
        <v>8</v>
      </c>
      <c r="C38" t="s">
        <v>10</v>
      </c>
      <c r="D38" s="1">
        <f>IF($H$9&gt;$F$9,0,$F$9-$H$9)</f>
        <v>0</v>
      </c>
      <c r="E38" s="1">
        <f>IF($F$9&gt;$H$9,0,$H$9-$F$9)</f>
        <v>1.2000000000000028</v>
      </c>
      <c r="F38">
        <v>0.9</v>
      </c>
      <c r="S38" s="23"/>
      <c r="T38" s="23"/>
      <c r="U38" s="23"/>
    </row>
    <row r="39" spans="1:21" hidden="1" x14ac:dyDescent="0.25"/>
    <row r="40" spans="1:21" hidden="1" x14ac:dyDescent="0.25">
      <c r="D40" s="1">
        <f>VLOOKUP(G5,C31:D38,2,FALSE)</f>
        <v>2</v>
      </c>
      <c r="E40" s="1">
        <f>VLOOKUP(G5,C31:E38,3,FALSE)</f>
        <v>0</v>
      </c>
      <c r="F40">
        <f>VLOOKUP(G5,C31:F38,4,FALSE)</f>
        <v>0.95</v>
      </c>
    </row>
    <row r="41" spans="1:21" hidden="1" x14ac:dyDescent="0.25"/>
    <row r="42" spans="1:21" hidden="1" x14ac:dyDescent="0.25">
      <c r="C42" t="s">
        <v>26</v>
      </c>
    </row>
    <row r="43" spans="1:21" hidden="1" x14ac:dyDescent="0.25">
      <c r="C43" t="s">
        <v>27</v>
      </c>
    </row>
    <row r="44" spans="1:21" hidden="1" x14ac:dyDescent="0.25">
      <c r="C44" t="s">
        <v>28</v>
      </c>
    </row>
    <row r="45" spans="1:21" hidden="1" x14ac:dyDescent="0.25">
      <c r="C45" t="s">
        <v>29</v>
      </c>
      <c r="F45" t="s">
        <v>73</v>
      </c>
      <c r="H45" t="s">
        <v>73</v>
      </c>
    </row>
    <row r="46" spans="1:21" hidden="1" x14ac:dyDescent="0.25"/>
    <row r="47" spans="1:21" hidden="1" x14ac:dyDescent="0.25">
      <c r="E47" t="s">
        <v>74</v>
      </c>
      <c r="F47" s="51">
        <f>F19*F11/113</f>
        <v>11.238938053097344</v>
      </c>
      <c r="H47" s="51">
        <f>H19*H11/113</f>
        <v>22.654867256637168</v>
      </c>
    </row>
    <row r="48" spans="1:21" hidden="1" x14ac:dyDescent="0.25">
      <c r="F48" s="78">
        <f>IF(F47&lt;0,F47*-1,F47)</f>
        <v>11.238938053097344</v>
      </c>
      <c r="H48" s="78">
        <f>IF(H47&lt;0,H47*-1,H47)</f>
        <v>22.654867256637168</v>
      </c>
    </row>
    <row r="49" spans="6:8" hidden="1" x14ac:dyDescent="0.25">
      <c r="F49" s="78">
        <f>IF(F48-INT(F48)=0.5,IF(F47&lt;0,F47+0.001,F47),F47)</f>
        <v>11.238938053097344</v>
      </c>
      <c r="H49" s="78">
        <f>IF(H48-INT(H48)=0.5,IF(H47&lt;0,H47+0.001,H47),H47)</f>
        <v>22.654867256637168</v>
      </c>
    </row>
    <row r="50" spans="6:8" hidden="1" x14ac:dyDescent="0.25">
      <c r="F50" s="80">
        <f>ROUND(F49,0)</f>
        <v>11</v>
      </c>
      <c r="H50" s="80">
        <f>ROUND(H49,0)</f>
        <v>23</v>
      </c>
    </row>
    <row r="51" spans="6:8" hidden="1" x14ac:dyDescent="0.25">
      <c r="F51" s="78">
        <f>IF($G$3=$C$45,F47,F50)</f>
        <v>11</v>
      </c>
      <c r="H51" s="78">
        <f>IF($G$3=$C$45,H47,H50)</f>
        <v>23</v>
      </c>
    </row>
    <row r="52" spans="6:8" hidden="1" x14ac:dyDescent="0.25"/>
    <row r="53" spans="6:8" hidden="1" x14ac:dyDescent="0.25">
      <c r="F53" t="s">
        <v>19</v>
      </c>
      <c r="H53" t="s">
        <v>19</v>
      </c>
    </row>
    <row r="54" spans="6:8" hidden="1" x14ac:dyDescent="0.25"/>
    <row r="55" spans="6:8" hidden="1" x14ac:dyDescent="0.25">
      <c r="F55" s="78">
        <f>F22+F23</f>
        <v>12.45</v>
      </c>
      <c r="H55" s="78">
        <f>H22+H23</f>
        <v>21.85</v>
      </c>
    </row>
    <row r="56" spans="6:8" hidden="1" x14ac:dyDescent="0.25">
      <c r="F56" s="78">
        <f>IF(F55&lt;0,ROUND(F55*-1,3),ROUND(F55,3))</f>
        <v>12.45</v>
      </c>
      <c r="H56" s="78">
        <f>IF(H55&lt;0,ROUND(H55*-1,3),ROUND(H55,3))</f>
        <v>21.85</v>
      </c>
    </row>
    <row r="57" spans="6:8" hidden="1" x14ac:dyDescent="0.25">
      <c r="F57" s="78">
        <f>IF(F56-INT(F56)=0.5,IF(F55&lt;0,F55+0.001,F55),F55)</f>
        <v>12.45</v>
      </c>
      <c r="H57" s="78">
        <f>IF(H56-INT(H56)=0.5,IF(H55&lt;0,H55+0.001,H55),H55)</f>
        <v>21.85</v>
      </c>
    </row>
    <row r="58" spans="6:8" hidden="1" x14ac:dyDescent="0.25">
      <c r="F58">
        <f>ROUND(F57,0)</f>
        <v>12</v>
      </c>
      <c r="H58">
        <f>ROUND(H57,0)</f>
        <v>22</v>
      </c>
    </row>
  </sheetData>
  <sheetProtection algorithmName="SHA-512" hashValue="FPlU1xyR4BtAeIbkee2Va/AFz9v0Ztka/IsKzZPV2/rMxjmQPOmomKAzkgtjwEA4gDNw+j69j1XSwBLYURNnGg==" saltValue="SjfBg8bXZ8it/XjXnybZJA==" spinCount="100000" sheet="1" selectLockedCells="1"/>
  <mergeCells count="4">
    <mergeCell ref="C2:D2"/>
    <mergeCell ref="C3:D3"/>
    <mergeCell ref="C28:I29"/>
    <mergeCell ref="C16:I16"/>
  </mergeCells>
  <conditionalFormatting sqref="C18:I29">
    <cfRule type="expression" dxfId="51" priority="8">
      <formula>$G$5="Individual Medal (Scratch)"</formula>
    </cfRule>
  </conditionalFormatting>
  <conditionalFormatting sqref="C16:I16">
    <cfRule type="expression" dxfId="50" priority="6">
      <formula>$G$5&lt;&gt;"Individual Medal (Scratch)"</formula>
    </cfRule>
  </conditionalFormatting>
  <conditionalFormatting sqref="C17:I17">
    <cfRule type="expression" dxfId="49" priority="5">
      <formula>$G$5="Individual Medal (Scratch)"</formula>
    </cfRule>
  </conditionalFormatting>
  <conditionalFormatting sqref="E18:I29">
    <cfRule type="expression" priority="7">
      <formula>$G$5="Individual Medal (Scratch)"</formula>
    </cfRule>
  </conditionalFormatting>
  <conditionalFormatting sqref="F21">
    <cfRule type="expression" dxfId="48" priority="4">
      <formula>$G$3=$C$45</formula>
    </cfRule>
  </conditionalFormatting>
  <conditionalFormatting sqref="H21">
    <cfRule type="expression" dxfId="47" priority="3">
      <formula>$G$3=$C$45</formula>
    </cfRule>
  </conditionalFormatting>
  <conditionalFormatting sqref="F22">
    <cfRule type="expression" dxfId="46" priority="2">
      <formula>$G$3=$C$45</formula>
    </cfRule>
  </conditionalFormatting>
  <conditionalFormatting sqref="H22">
    <cfRule type="expression" dxfId="45" priority="1">
      <formula>$G$3=$C$45</formula>
    </cfRule>
  </conditionalFormatting>
  <dataValidations count="2">
    <dataValidation type="list" allowBlank="1" showInputMessage="1" showErrorMessage="1" sqref="G5" xr:uid="{E67550B8-823C-451A-AB45-A227BC92E413}">
      <formula1>$C$31:$C$38</formula1>
    </dataValidation>
    <dataValidation type="list" allowBlank="1" showInputMessage="1" showErrorMessage="1" sqref="G3" xr:uid="{00EFCC99-BB0D-4DE2-9A2F-958E67255837}">
      <formula1>$C$42:$C$45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3337-1B4F-4F29-84E5-66B8DFEA5FD6}">
  <dimension ref="A1:W58"/>
  <sheetViews>
    <sheetView workbookViewId="0">
      <selection activeCell="K9" sqref="K9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13" max="13" width="9" hidden="1" customWidth="1"/>
    <col min="14" max="16" width="9" style="1" hidden="1" customWidth="1"/>
    <col min="17" max="17" width="9" hidden="1" customWidth="1"/>
    <col min="18" max="23" width="0" hidden="1" customWidth="1"/>
  </cols>
  <sheetData>
    <row r="1" spans="3:23" ht="15.75" thickBot="1" x14ac:dyDescent="0.3"/>
    <row r="2" spans="3:23" x14ac:dyDescent="0.25">
      <c r="C2" s="108" t="s">
        <v>22</v>
      </c>
      <c r="D2" s="109"/>
      <c r="E2" s="2"/>
      <c r="F2" s="2"/>
      <c r="G2" s="2"/>
      <c r="H2" s="2"/>
      <c r="I2" s="2"/>
      <c r="J2" s="2"/>
      <c r="K2" s="2"/>
      <c r="L2" s="3"/>
    </row>
    <row r="3" spans="3:23" ht="20.100000000000001" customHeight="1" x14ac:dyDescent="0.25">
      <c r="C3" s="110" t="s">
        <v>23</v>
      </c>
      <c r="D3" s="111"/>
      <c r="E3" s="5"/>
      <c r="F3" s="30" t="s">
        <v>30</v>
      </c>
      <c r="G3" s="121" t="s">
        <v>26</v>
      </c>
      <c r="H3" s="122"/>
      <c r="I3" s="5"/>
      <c r="J3" s="5"/>
      <c r="K3" s="5"/>
      <c r="L3" s="6"/>
    </row>
    <row r="4" spans="3:23" x14ac:dyDescent="0.25">
      <c r="C4" s="53"/>
      <c r="D4" s="54"/>
      <c r="E4" s="5"/>
      <c r="F4" s="5"/>
      <c r="G4" s="5"/>
      <c r="H4" s="5"/>
      <c r="I4" s="5"/>
      <c r="J4" s="5"/>
      <c r="K4" s="5"/>
      <c r="L4" s="6"/>
    </row>
    <row r="5" spans="3:23" ht="20.100000000000001" customHeight="1" x14ac:dyDescent="0.25">
      <c r="C5" s="4"/>
      <c r="D5" s="5"/>
      <c r="E5" s="31" t="s">
        <v>21</v>
      </c>
      <c r="F5" s="32"/>
      <c r="G5" s="121" t="s">
        <v>6</v>
      </c>
      <c r="H5" s="122"/>
      <c r="I5" s="5"/>
      <c r="J5" s="5"/>
      <c r="K5" s="5"/>
      <c r="L5" s="6"/>
    </row>
    <row r="6" spans="3:23" x14ac:dyDescent="0.25">
      <c r="C6" s="4"/>
      <c r="D6" s="5"/>
      <c r="E6" s="5"/>
      <c r="F6" s="5"/>
      <c r="G6" s="5"/>
      <c r="H6" s="5"/>
      <c r="I6" s="5"/>
      <c r="J6" s="5"/>
      <c r="K6" s="5"/>
      <c r="L6" s="6"/>
    </row>
    <row r="7" spans="3:23" x14ac:dyDescent="0.25">
      <c r="C7" s="4"/>
      <c r="D7" s="5"/>
      <c r="E7" s="5"/>
      <c r="F7" s="54" t="s">
        <v>36</v>
      </c>
      <c r="G7" s="8"/>
      <c r="H7" s="54" t="s">
        <v>37</v>
      </c>
      <c r="I7" s="8"/>
      <c r="J7" s="8"/>
      <c r="K7" s="54" t="s">
        <v>38</v>
      </c>
      <c r="L7" s="6"/>
      <c r="N7" s="1" t="s">
        <v>33</v>
      </c>
      <c r="O7" s="1" t="s">
        <v>35</v>
      </c>
      <c r="P7" s="1" t="s">
        <v>16</v>
      </c>
      <c r="R7" s="92"/>
      <c r="S7" s="92" t="s">
        <v>46</v>
      </c>
      <c r="T7" s="92"/>
      <c r="U7" s="92" t="s">
        <v>47</v>
      </c>
      <c r="W7" s="92" t="s">
        <v>47</v>
      </c>
    </row>
    <row r="8" spans="3:23" x14ac:dyDescent="0.25">
      <c r="C8" s="4"/>
      <c r="D8" s="5"/>
      <c r="E8" s="5"/>
      <c r="F8" s="5"/>
      <c r="G8" s="5"/>
      <c r="H8" s="5"/>
      <c r="I8" s="5"/>
      <c r="J8" s="5"/>
      <c r="K8" s="5"/>
      <c r="L8" s="6"/>
      <c r="R8" s="92"/>
      <c r="S8" s="92"/>
      <c r="T8" s="92"/>
      <c r="U8" s="92"/>
      <c r="W8" s="92"/>
    </row>
    <row r="9" spans="3:23" ht="20.100000000000001" customHeight="1" x14ac:dyDescent="0.25">
      <c r="C9" s="4"/>
      <c r="D9" s="5"/>
      <c r="E9" s="7" t="s">
        <v>11</v>
      </c>
      <c r="F9" s="46">
        <v>71.2</v>
      </c>
      <c r="G9" s="7" t="s">
        <v>11</v>
      </c>
      <c r="H9" s="46">
        <v>72.400000000000006</v>
      </c>
      <c r="I9" s="5"/>
      <c r="J9" s="7" t="s">
        <v>11</v>
      </c>
      <c r="K9" s="46"/>
      <c r="L9" s="6"/>
      <c r="N9" s="1">
        <f>F9</f>
        <v>71.2</v>
      </c>
      <c r="O9" s="1">
        <f>F10</f>
        <v>71</v>
      </c>
      <c r="P9" s="1">
        <f>F12</f>
        <v>36</v>
      </c>
      <c r="R9" s="92" t="s">
        <v>16</v>
      </c>
      <c r="S9" s="106">
        <f>F9-F10</f>
        <v>0.20000000000000284</v>
      </c>
      <c r="T9" s="106"/>
      <c r="U9" s="106">
        <f>H9-H10</f>
        <v>-1.5999999999999943</v>
      </c>
      <c r="W9" s="106">
        <f>K9-K10</f>
        <v>0</v>
      </c>
    </row>
    <row r="10" spans="3:23" ht="20.100000000000001" customHeight="1" x14ac:dyDescent="0.25">
      <c r="C10" s="4"/>
      <c r="D10" s="5"/>
      <c r="E10" s="7" t="s">
        <v>0</v>
      </c>
      <c r="F10" s="29">
        <v>71</v>
      </c>
      <c r="G10" s="7" t="s">
        <v>0</v>
      </c>
      <c r="H10" s="29">
        <v>74</v>
      </c>
      <c r="I10" s="5"/>
      <c r="J10" s="7" t="s">
        <v>0</v>
      </c>
      <c r="K10" s="29"/>
      <c r="L10" s="6"/>
      <c r="N10" s="1">
        <f>H9</f>
        <v>72.400000000000006</v>
      </c>
      <c r="O10" s="1">
        <f>H10</f>
        <v>74</v>
      </c>
      <c r="P10" s="1">
        <f>H12</f>
        <v>38</v>
      </c>
      <c r="R10" s="92" t="s">
        <v>101</v>
      </c>
      <c r="S10" s="106">
        <f>TRUNC(S9)</f>
        <v>0</v>
      </c>
      <c r="T10" s="92"/>
      <c r="U10" s="106">
        <f>TRUNC(U9)</f>
        <v>-1</v>
      </c>
      <c r="W10" s="106">
        <f>TRUNC(W9)</f>
        <v>0</v>
      </c>
    </row>
    <row r="11" spans="3:23" ht="20.100000000000001" customHeight="1" x14ac:dyDescent="0.25">
      <c r="C11" s="4"/>
      <c r="D11" s="5"/>
      <c r="E11" s="7" t="s">
        <v>12</v>
      </c>
      <c r="F11" s="29">
        <v>127</v>
      </c>
      <c r="G11" s="7" t="s">
        <v>12</v>
      </c>
      <c r="H11" s="29">
        <v>128</v>
      </c>
      <c r="I11" s="5"/>
      <c r="J11" s="7" t="s">
        <v>12</v>
      </c>
      <c r="K11" s="29"/>
      <c r="L11" s="6"/>
      <c r="N11" s="1">
        <f>K9</f>
        <v>0</v>
      </c>
      <c r="O11" s="1">
        <f>K10</f>
        <v>0</v>
      </c>
      <c r="P11" s="1">
        <f>K12</f>
        <v>0</v>
      </c>
      <c r="R11" s="92" t="s">
        <v>102</v>
      </c>
      <c r="S11" s="106">
        <f>S9-S10</f>
        <v>0.20000000000000284</v>
      </c>
      <c r="T11" s="92"/>
      <c r="U11" s="106">
        <f>U9-U10</f>
        <v>-0.59999999999999432</v>
      </c>
      <c r="W11" s="106">
        <f>W9-W10</f>
        <v>0</v>
      </c>
    </row>
    <row r="12" spans="3:23" x14ac:dyDescent="0.25">
      <c r="C12" s="4"/>
      <c r="D12" s="5"/>
      <c r="E12" s="10" t="s">
        <v>16</v>
      </c>
      <c r="F12" s="35">
        <f>IF(F9&gt;0,36-S12,0)</f>
        <v>36</v>
      </c>
      <c r="G12" s="10" t="s">
        <v>16</v>
      </c>
      <c r="H12" s="35">
        <f>IF(H9&gt;0,36-U12,0)</f>
        <v>38</v>
      </c>
      <c r="I12" s="61"/>
      <c r="J12" s="10" t="s">
        <v>16</v>
      </c>
      <c r="K12" s="35">
        <f>IF(K9&gt;0,36-W12,0)</f>
        <v>0</v>
      </c>
      <c r="L12" s="6"/>
      <c r="M12" s="36" t="s">
        <v>34</v>
      </c>
      <c r="N12" s="1">
        <f>MIN(N9:N11)</f>
        <v>0</v>
      </c>
      <c r="O12" s="1">
        <f>MIN(O9:O11)</f>
        <v>0</v>
      </c>
      <c r="P12" s="1">
        <f>MAX(P9:P11)</f>
        <v>38</v>
      </c>
      <c r="Q12" t="s">
        <v>91</v>
      </c>
      <c r="R12" s="92" t="s">
        <v>103</v>
      </c>
      <c r="S12" s="92">
        <f>IF(S9&lt;0,IF(S11&lt;-0.5,S10-1,S10),ROUND(S9,0))</f>
        <v>0</v>
      </c>
      <c r="T12" s="92"/>
      <c r="U12" s="92">
        <f>IF(U9&lt;0,IF(U11&lt;-0.5,U10-1,U10),ROUND(U9,0))</f>
        <v>-2</v>
      </c>
      <c r="W12" s="92">
        <f>IF(W9&lt;0,IF(W11&lt;-0.5,W10-1,W10),ROUND(W9,0))</f>
        <v>0</v>
      </c>
    </row>
    <row r="13" spans="3:23" x14ac:dyDescent="0.25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23" ht="15.75" x14ac:dyDescent="0.25">
      <c r="C14" s="4"/>
      <c r="D14" s="5"/>
      <c r="E14" s="27" t="s">
        <v>13</v>
      </c>
      <c r="F14" s="28">
        <f>D40</f>
        <v>2</v>
      </c>
      <c r="G14" s="26"/>
      <c r="H14" s="28">
        <f>E40</f>
        <v>0</v>
      </c>
      <c r="I14" s="5"/>
      <c r="J14" s="5"/>
      <c r="K14" s="28">
        <f>F40</f>
        <v>0</v>
      </c>
      <c r="L14" s="6"/>
    </row>
    <row r="15" spans="3:23" x14ac:dyDescent="0.25">
      <c r="C15" s="4"/>
      <c r="D15" s="5"/>
      <c r="E15" s="7"/>
      <c r="F15" s="8"/>
      <c r="G15" s="5"/>
      <c r="H15" s="8"/>
      <c r="I15" s="5"/>
      <c r="J15" s="5"/>
      <c r="K15" s="5"/>
      <c r="L15" s="6"/>
    </row>
    <row r="16" spans="3:23" x14ac:dyDescent="0.25">
      <c r="C16" s="4"/>
      <c r="D16" s="5"/>
      <c r="E16" s="119" t="s">
        <v>59</v>
      </c>
      <c r="F16" s="119"/>
      <c r="G16" s="119"/>
      <c r="H16" s="119"/>
      <c r="I16" s="119"/>
      <c r="J16" s="119"/>
      <c r="K16" s="119"/>
      <c r="L16" s="6"/>
    </row>
    <row r="17" spans="1:14" x14ac:dyDescent="0.25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1:14" x14ac:dyDescent="0.25">
      <c r="C18" s="4"/>
      <c r="D18" s="57" t="s">
        <v>17</v>
      </c>
      <c r="E18" s="5"/>
      <c r="F18" s="5"/>
      <c r="G18" s="5"/>
      <c r="H18" s="5"/>
      <c r="I18" s="5"/>
      <c r="J18" s="5"/>
      <c r="K18" s="5"/>
      <c r="L18" s="6"/>
      <c r="N18" s="1" t="s">
        <v>32</v>
      </c>
    </row>
    <row r="19" spans="1:14" x14ac:dyDescent="0.25">
      <c r="C19" s="4"/>
      <c r="D19" s="9" t="s">
        <v>3</v>
      </c>
      <c r="E19" s="5"/>
      <c r="F19" s="20">
        <v>10</v>
      </c>
      <c r="G19" s="5"/>
      <c r="H19" s="20">
        <v>20</v>
      </c>
      <c r="I19" s="5"/>
      <c r="J19" s="5"/>
      <c r="K19" s="20">
        <v>9</v>
      </c>
      <c r="L19" s="6"/>
    </row>
    <row r="20" spans="1:14" ht="3.4" customHeight="1" x14ac:dyDescent="0.25">
      <c r="C20" s="4"/>
      <c r="D20" s="7"/>
      <c r="E20" s="5"/>
      <c r="F20" s="45"/>
      <c r="G20" s="5"/>
      <c r="H20" s="45"/>
      <c r="I20" s="5"/>
      <c r="J20" s="5"/>
      <c r="K20" s="45"/>
      <c r="L20" s="6"/>
    </row>
    <row r="21" spans="1:14" x14ac:dyDescent="0.25">
      <c r="C21" s="4"/>
      <c r="D21" s="9" t="s">
        <v>18</v>
      </c>
      <c r="E21" s="42"/>
      <c r="F21" s="77">
        <f>F51</f>
        <v>11</v>
      </c>
      <c r="G21" s="47"/>
      <c r="H21" s="77">
        <f>H51</f>
        <v>23</v>
      </c>
      <c r="I21" s="47"/>
      <c r="J21" s="47"/>
      <c r="K21" s="77">
        <f>K51</f>
        <v>0</v>
      </c>
      <c r="L21" s="6"/>
    </row>
    <row r="22" spans="1:14" x14ac:dyDescent="0.25">
      <c r="C22" s="4"/>
      <c r="D22" s="7" t="s">
        <v>4</v>
      </c>
      <c r="E22" s="44">
        <f>G40</f>
        <v>0.95</v>
      </c>
      <c r="F22" s="93">
        <f>IF(G3="Scotland",ROUND(F21*G40,3),ROUND(F21*G40,3))</f>
        <v>10.45</v>
      </c>
      <c r="G22" s="42"/>
      <c r="H22" s="93">
        <f>IF(G3="Scotland",ROUND(H21*G40,3),ROUND(H21*G40,3))</f>
        <v>21.85</v>
      </c>
      <c r="I22" s="42"/>
      <c r="J22" s="42"/>
      <c r="K22" s="93">
        <f>IF(G3="Scotland",ROUND(K21*G40,3),ROUND(K21*G40,3))</f>
        <v>0</v>
      </c>
      <c r="L22" s="6"/>
    </row>
    <row r="23" spans="1:14" x14ac:dyDescent="0.25">
      <c r="C23" s="4"/>
      <c r="D23" s="9" t="s">
        <v>13</v>
      </c>
      <c r="E23" s="42"/>
      <c r="F23" s="55">
        <f>F14</f>
        <v>2</v>
      </c>
      <c r="G23" s="43"/>
      <c r="H23" s="55">
        <f>H14</f>
        <v>0</v>
      </c>
      <c r="I23" s="42"/>
      <c r="J23" s="42"/>
      <c r="K23" s="55">
        <f>K14</f>
        <v>0</v>
      </c>
      <c r="L23" s="6"/>
    </row>
    <row r="24" spans="1:14" x14ac:dyDescent="0.25">
      <c r="C24" s="4"/>
      <c r="D24" s="7"/>
      <c r="E24" s="5"/>
      <c r="F24" s="8"/>
      <c r="G24" s="8"/>
      <c r="H24" s="8"/>
      <c r="I24" s="5"/>
      <c r="J24" s="5"/>
      <c r="K24" s="8"/>
      <c r="L24" s="6"/>
    </row>
    <row r="25" spans="1:14" ht="15.75" x14ac:dyDescent="0.25">
      <c r="C25" s="4"/>
      <c r="D25" s="24" t="s">
        <v>19</v>
      </c>
      <c r="E25" s="25"/>
      <c r="F25" s="28">
        <f>F58</f>
        <v>12</v>
      </c>
      <c r="G25" s="26"/>
      <c r="H25" s="28">
        <f>H58</f>
        <v>22</v>
      </c>
      <c r="I25" s="5"/>
      <c r="J25" s="5"/>
      <c r="K25" s="28">
        <f>K58</f>
        <v>0</v>
      </c>
      <c r="L25" s="6"/>
    </row>
    <row r="26" spans="1:14" x14ac:dyDescent="0.25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1:14" x14ac:dyDescent="0.25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1:14" ht="14.25" customHeight="1" x14ac:dyDescent="0.25">
      <c r="C28" s="123" t="s">
        <v>96</v>
      </c>
      <c r="D28" s="124"/>
      <c r="E28" s="124"/>
      <c r="F28" s="124"/>
      <c r="G28" s="124"/>
      <c r="H28" s="124"/>
      <c r="I28" s="124"/>
      <c r="J28" s="124"/>
      <c r="K28" s="124"/>
      <c r="L28" s="125"/>
    </row>
    <row r="29" spans="1:14" ht="15.75" thickBot="1" x14ac:dyDescent="0.3">
      <c r="C29" s="126"/>
      <c r="D29" s="127"/>
      <c r="E29" s="127"/>
      <c r="F29" s="127"/>
      <c r="G29" s="127"/>
      <c r="H29" s="127"/>
      <c r="I29" s="127"/>
      <c r="J29" s="127"/>
      <c r="K29" s="127"/>
      <c r="L29" s="128"/>
    </row>
    <row r="30" spans="1:14" hidden="1" x14ac:dyDescent="0.25">
      <c r="D30" t="s">
        <v>14</v>
      </c>
      <c r="E30" t="s">
        <v>31</v>
      </c>
      <c r="F30" t="s">
        <v>15</v>
      </c>
      <c r="G30" t="s">
        <v>4</v>
      </c>
    </row>
    <row r="31" spans="1:14" hidden="1" x14ac:dyDescent="0.25">
      <c r="A31">
        <v>1</v>
      </c>
      <c r="C31" t="s">
        <v>5</v>
      </c>
      <c r="D31" s="1">
        <f>IF($F$9&gt;$N$12,$F$9-$N$12,0)</f>
        <v>71.2</v>
      </c>
      <c r="E31" s="1">
        <f>IF($H$9&gt;$N$12,$H$9-$N$12,0)</f>
        <v>72.400000000000006</v>
      </c>
      <c r="F31" s="37">
        <f>IF($K$9&gt;$N$12,$K$9-$N$12,0)</f>
        <v>0</v>
      </c>
      <c r="G31">
        <v>0.95</v>
      </c>
    </row>
    <row r="32" spans="1:14" hidden="1" x14ac:dyDescent="0.25">
      <c r="A32">
        <v>2</v>
      </c>
      <c r="C32" t="s">
        <v>24</v>
      </c>
      <c r="D32" s="1">
        <f>ROUND(IF($F$9&gt;$N$12,$F$9-$N$12,0),0)</f>
        <v>71</v>
      </c>
      <c r="E32" s="1">
        <f>ROUND(IF($H$9&gt;$N$12,$H$9-$N$12,0),0)</f>
        <v>72</v>
      </c>
      <c r="F32" s="37">
        <f>ROUND(IF($K$9&gt;$N$12,$K$9-$N$12,0),0)</f>
        <v>0</v>
      </c>
      <c r="G32">
        <v>1</v>
      </c>
    </row>
    <row r="33" spans="1:11" hidden="1" x14ac:dyDescent="0.25">
      <c r="A33">
        <v>3</v>
      </c>
      <c r="C33" t="s">
        <v>6</v>
      </c>
      <c r="D33" s="1">
        <f>IF($F$12&lt;$P$12,$P$12-$F$12,0)</f>
        <v>2</v>
      </c>
      <c r="E33" s="1">
        <f>IF($H$12&lt;$P$12,$P$12-$H$12,0)</f>
        <v>0</v>
      </c>
      <c r="F33" s="1">
        <f>IF($K$12&gt;0,IF($K$12&lt;$P$12,$P$12-$K$12,0),0)</f>
        <v>0</v>
      </c>
      <c r="G33">
        <v>0.95</v>
      </c>
    </row>
    <row r="34" spans="1:11" hidden="1" x14ac:dyDescent="0.25">
      <c r="A34">
        <v>4</v>
      </c>
      <c r="C34" t="s">
        <v>7</v>
      </c>
      <c r="D34" s="1">
        <f>IF($F$9&gt;$N$12,$F$9-$N$12,0)</f>
        <v>71.2</v>
      </c>
      <c r="E34" s="1">
        <f>IF($H$9&gt;$N$12,$H$9-$N$12,0)</f>
        <v>72.400000000000006</v>
      </c>
      <c r="F34" s="37">
        <f>IF($K$9&gt;$N$12,$K$9-$N$12,0)</f>
        <v>0</v>
      </c>
      <c r="G34">
        <v>1</v>
      </c>
    </row>
    <row r="35" spans="1:11" hidden="1" x14ac:dyDescent="0.25">
      <c r="A35">
        <v>5</v>
      </c>
      <c r="C35" t="s">
        <v>8</v>
      </c>
      <c r="D35" s="1">
        <f>IF($F$9&gt;$N$12,$F$9-$N$12,0)</f>
        <v>71.2</v>
      </c>
      <c r="E35" s="1">
        <f>IF($H$9&gt;$N$12,$H$9-$N$12,0)</f>
        <v>72.400000000000006</v>
      </c>
      <c r="F35" s="37">
        <f>IF($K$9&gt;$N$12,$K$9-$N$12,0)</f>
        <v>0</v>
      </c>
      <c r="G35">
        <v>0.85</v>
      </c>
    </row>
    <row r="36" spans="1:11" hidden="1" x14ac:dyDescent="0.25">
      <c r="A36">
        <v>6</v>
      </c>
      <c r="C36" t="s">
        <v>9</v>
      </c>
      <c r="D36" s="1">
        <f>IF($F$12&lt;$P$12,$P$12-$F$12,0)</f>
        <v>2</v>
      </c>
      <c r="E36" s="1">
        <f>IF($H$12&lt;$P$12,$P$12-$H$12,0)</f>
        <v>0</v>
      </c>
      <c r="F36" s="1">
        <f>IF($K$12&gt;0,IF($K$12&lt;$P$12,$P$12-$K$12,0),0)</f>
        <v>0</v>
      </c>
      <c r="G36">
        <v>0.85</v>
      </c>
    </row>
    <row r="37" spans="1:11" hidden="1" x14ac:dyDescent="0.25">
      <c r="A37">
        <v>7</v>
      </c>
      <c r="C37" t="s">
        <v>20</v>
      </c>
      <c r="D37" s="1">
        <f>IF($F$12&lt;$P$12,$P$12-$F$12,0)</f>
        <v>2</v>
      </c>
      <c r="E37" s="1">
        <f>IF($H$12&lt;$P$12,$P$12-$H$12,0)</f>
        <v>0</v>
      </c>
      <c r="F37" s="1">
        <f>IF($K$12&gt;0,IF($K$12&lt;$P$12,$P$12-$K$12,0),0)</f>
        <v>0</v>
      </c>
      <c r="G37">
        <v>0.9</v>
      </c>
    </row>
    <row r="38" spans="1:11" hidden="1" x14ac:dyDescent="0.25">
      <c r="A38">
        <v>8</v>
      </c>
      <c r="C38" t="s">
        <v>10</v>
      </c>
      <c r="D38" s="1">
        <f>IF($F$9&gt;$N$12,$F$9-$N$12,0)</f>
        <v>71.2</v>
      </c>
      <c r="E38" s="1">
        <f>IF($H$9&gt;$N$12,$H$9-$N$12,0)</f>
        <v>72.400000000000006</v>
      </c>
      <c r="F38" s="37">
        <f>IF($K$9&gt;$N$12,$K$9-$N$12,0)</f>
        <v>0</v>
      </c>
      <c r="G38">
        <v>0.9</v>
      </c>
    </row>
    <row r="39" spans="1:11" hidden="1" x14ac:dyDescent="0.25"/>
    <row r="40" spans="1:11" hidden="1" x14ac:dyDescent="0.25">
      <c r="D40" s="1">
        <f>VLOOKUP(G5,C31:D38,2,FALSE)</f>
        <v>2</v>
      </c>
      <c r="E40" s="1">
        <f>VLOOKUP(G5,C31:E38,3,FALSE)</f>
        <v>0</v>
      </c>
      <c r="F40" s="1">
        <f>VLOOKUP(G5,C31:F38,4,FALSE)</f>
        <v>0</v>
      </c>
      <c r="G40">
        <f>VLOOKUP(G5,C31:G38,5,FALSE)</f>
        <v>0.95</v>
      </c>
    </row>
    <row r="41" spans="1:11" hidden="1" x14ac:dyDescent="0.25"/>
    <row r="42" spans="1:11" hidden="1" x14ac:dyDescent="0.25">
      <c r="C42" t="s">
        <v>26</v>
      </c>
    </row>
    <row r="43" spans="1:11" hidden="1" x14ac:dyDescent="0.25">
      <c r="C43" t="s">
        <v>27</v>
      </c>
    </row>
    <row r="44" spans="1:11" hidden="1" x14ac:dyDescent="0.25">
      <c r="C44" t="s">
        <v>28</v>
      </c>
    </row>
    <row r="45" spans="1:11" hidden="1" x14ac:dyDescent="0.25">
      <c r="C45" t="s">
        <v>29</v>
      </c>
      <c r="F45" t="s">
        <v>73</v>
      </c>
      <c r="H45" t="s">
        <v>73</v>
      </c>
      <c r="K45" t="s">
        <v>73</v>
      </c>
    </row>
    <row r="46" spans="1:11" hidden="1" x14ac:dyDescent="0.25"/>
    <row r="47" spans="1:11" hidden="1" x14ac:dyDescent="0.25">
      <c r="E47" t="s">
        <v>74</v>
      </c>
      <c r="F47" s="51">
        <f>F19*F11/113</f>
        <v>11.238938053097344</v>
      </c>
      <c r="H47" s="51">
        <f>H19*H11/113</f>
        <v>22.654867256637168</v>
      </c>
      <c r="K47" s="51">
        <f>K19*K11/113</f>
        <v>0</v>
      </c>
    </row>
    <row r="48" spans="1:11" hidden="1" x14ac:dyDescent="0.25">
      <c r="F48" s="78">
        <f>IF(F47&lt;0,F47*-1,F47)</f>
        <v>11.238938053097344</v>
      </c>
      <c r="H48" s="78">
        <f>IF(H47&lt;0,H47*-1,H47)</f>
        <v>22.654867256637168</v>
      </c>
      <c r="K48" s="78">
        <f>IF(K47&lt;0,K47*-1,K47)</f>
        <v>0</v>
      </c>
    </row>
    <row r="49" spans="6:11" hidden="1" x14ac:dyDescent="0.25">
      <c r="F49">
        <f>IF(F48-INT(F48)=0.5,IF(F47&lt;0,F47+0.001,F47),F47)</f>
        <v>11.238938053097344</v>
      </c>
      <c r="H49" s="78">
        <f>IF(H48-INT(H48)=0.5,IF(H47&lt;0,H47+0.001,H47),H47)</f>
        <v>22.654867256637168</v>
      </c>
      <c r="K49" s="78">
        <f>IF(K48-INT(K48)=0.5,IF(K47&lt;0,K47+0.001,K47),K47)</f>
        <v>0</v>
      </c>
    </row>
    <row r="50" spans="6:11" hidden="1" x14ac:dyDescent="0.25">
      <c r="F50">
        <f>ROUND(F49,0)</f>
        <v>11</v>
      </c>
      <c r="H50">
        <f>ROUND(H49,0)</f>
        <v>23</v>
      </c>
      <c r="K50">
        <f>ROUND(K49,0)</f>
        <v>0</v>
      </c>
    </row>
    <row r="51" spans="6:11" hidden="1" x14ac:dyDescent="0.25">
      <c r="F51">
        <f>IF($G$3=$C$45,F47,F50)</f>
        <v>11</v>
      </c>
      <c r="H51" s="78">
        <f>IF($G$3=$C$45,H47,H50)</f>
        <v>23</v>
      </c>
      <c r="K51" s="78">
        <f>IF($G$3=$C$45,K47,K50)</f>
        <v>0</v>
      </c>
    </row>
    <row r="52" spans="6:11" hidden="1" x14ac:dyDescent="0.25"/>
    <row r="53" spans="6:11" hidden="1" x14ac:dyDescent="0.25">
      <c r="F53" t="s">
        <v>19</v>
      </c>
      <c r="H53" t="s">
        <v>19</v>
      </c>
      <c r="K53" t="s">
        <v>19</v>
      </c>
    </row>
    <row r="54" spans="6:11" hidden="1" x14ac:dyDescent="0.25"/>
    <row r="55" spans="6:11" hidden="1" x14ac:dyDescent="0.25">
      <c r="F55" s="78">
        <f>F22+F23</f>
        <v>12.45</v>
      </c>
      <c r="H55" s="78">
        <f>H22+H23</f>
        <v>21.85</v>
      </c>
      <c r="K55" s="78">
        <f>K22+K23</f>
        <v>0</v>
      </c>
    </row>
    <row r="56" spans="6:11" hidden="1" x14ac:dyDescent="0.25">
      <c r="F56" s="78">
        <f>IF(F55&lt;0,ROUND(F55*-1,3),ROUND(F55,3))</f>
        <v>12.45</v>
      </c>
      <c r="H56" s="78">
        <f>IF(H55&lt;0,ROUND(H55*-1,3),ROUND(H55,3))</f>
        <v>21.85</v>
      </c>
      <c r="K56" s="78">
        <f>IF(K55&lt;0,ROUND(K55*-1,3),ROUND(K55,3))</f>
        <v>0</v>
      </c>
    </row>
    <row r="57" spans="6:11" hidden="1" x14ac:dyDescent="0.25">
      <c r="F57" s="78">
        <f>IF(F56-INT(F56)=0.5,IF(F55&lt;0,F55+0.001,F55),F55)</f>
        <v>12.45</v>
      </c>
      <c r="H57" s="78">
        <f>IF(H56-INT(H56)=0.5,IF(H55&lt;0,H55+0.001,H55),H55)</f>
        <v>21.85</v>
      </c>
      <c r="K57" s="78">
        <f>IF(K56-INT(K56)=0.5,IF(K55&lt;0,K55+0.001,K55),K55)</f>
        <v>0</v>
      </c>
    </row>
    <row r="58" spans="6:11" hidden="1" x14ac:dyDescent="0.25">
      <c r="F58">
        <f>ROUND(F57,0)</f>
        <v>12</v>
      </c>
      <c r="H58">
        <f>ROUND(H57,0)</f>
        <v>22</v>
      </c>
      <c r="K58">
        <f>ROUND(K57,0)</f>
        <v>0</v>
      </c>
    </row>
  </sheetData>
  <sheetProtection algorithmName="SHA-512" hashValue="78QJD2MTAzuwikt6cKignV1Dta8pp6s6Qo1SFCzYq/FP5ErZgToy/D7nIcm5jZFqIvq2QpztrQchcbFrSGfUVQ==" saltValue="9VGvxAEaOP6fbsYhovKaeg==" spinCount="100000" sheet="1" selectLockedCells="1"/>
  <mergeCells count="6">
    <mergeCell ref="C2:D2"/>
    <mergeCell ref="C3:D3"/>
    <mergeCell ref="G3:H3"/>
    <mergeCell ref="G5:H5"/>
    <mergeCell ref="C28:L29"/>
    <mergeCell ref="E16:K16"/>
  </mergeCells>
  <conditionalFormatting sqref="E16:K16">
    <cfRule type="expression" dxfId="44" priority="8">
      <formula>$G$5&lt;&gt;"Individual Medal (Scratch)"</formula>
    </cfRule>
  </conditionalFormatting>
  <conditionalFormatting sqref="C16:L16">
    <cfRule type="expression" dxfId="43" priority="7">
      <formula>$G$5="Individual Medal (Scratch)"</formula>
    </cfRule>
  </conditionalFormatting>
  <conditionalFormatting sqref="C17:L29">
    <cfRule type="expression" dxfId="42" priority="9">
      <formula>$G$5="Individual Medal (Scratch)"</formula>
    </cfRule>
    <cfRule type="expression" dxfId="41" priority="10">
      <formula>$G$5="Individual Medal (Scratch)"</formula>
    </cfRule>
  </conditionalFormatting>
  <conditionalFormatting sqref="F21">
    <cfRule type="expression" dxfId="40" priority="6">
      <formula>$G$3=$C$45</formula>
    </cfRule>
  </conditionalFormatting>
  <conditionalFormatting sqref="H21">
    <cfRule type="expression" dxfId="39" priority="5">
      <formula>$G$3=$C$45</formula>
    </cfRule>
  </conditionalFormatting>
  <conditionalFormatting sqref="K21">
    <cfRule type="expression" dxfId="38" priority="4">
      <formula>$G$3=$C$45</formula>
    </cfRule>
  </conditionalFormatting>
  <conditionalFormatting sqref="F22">
    <cfRule type="expression" dxfId="37" priority="3">
      <formula>$G$3=$C$45</formula>
    </cfRule>
  </conditionalFormatting>
  <conditionalFormatting sqref="H22">
    <cfRule type="expression" dxfId="36" priority="2">
      <formula>$G$3=$C$45</formula>
    </cfRule>
  </conditionalFormatting>
  <conditionalFormatting sqref="K22">
    <cfRule type="expression" dxfId="35" priority="1">
      <formula>$G$3=$C$45</formula>
    </cfRule>
  </conditionalFormatting>
  <dataValidations count="2">
    <dataValidation type="list" allowBlank="1" showInputMessage="1" showErrorMessage="1" sqref="G3" xr:uid="{7D7193A3-EE4D-4D22-8B2A-DEA4EAC8B267}">
      <formula1>$C$42:$C$45</formula1>
    </dataValidation>
    <dataValidation type="list" allowBlank="1" showInputMessage="1" showErrorMessage="1" sqref="G5" xr:uid="{0D083273-7E76-4234-BACF-D502100488A6}">
      <formula1>$C$31:$C$38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51BC-0B41-4265-8079-819C9A763A6E}">
  <dimension ref="A1:P59"/>
  <sheetViews>
    <sheetView workbookViewId="0">
      <selection activeCell="F9" sqref="F9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24.28515625" customWidth="1"/>
  </cols>
  <sheetData>
    <row r="1" spans="3:16" ht="15.75" thickBot="1" x14ac:dyDescent="0.3"/>
    <row r="2" spans="3:16" x14ac:dyDescent="0.25">
      <c r="C2" s="108" t="s">
        <v>22</v>
      </c>
      <c r="D2" s="109"/>
      <c r="E2" s="2"/>
      <c r="F2" s="2"/>
      <c r="G2" s="2"/>
      <c r="H2" s="2"/>
      <c r="I2" s="3"/>
    </row>
    <row r="3" spans="3:16" ht="22.15" customHeight="1" x14ac:dyDescent="0.25">
      <c r="C3" s="110" t="s">
        <v>23</v>
      </c>
      <c r="D3" s="111"/>
      <c r="E3" s="5"/>
      <c r="F3" s="30" t="s">
        <v>30</v>
      </c>
      <c r="G3" s="33" t="s">
        <v>26</v>
      </c>
      <c r="H3" s="73"/>
      <c r="I3" s="6"/>
      <c r="N3" s="1"/>
      <c r="O3" s="1"/>
      <c r="P3" s="1"/>
    </row>
    <row r="4" spans="3:16" ht="20.100000000000001" customHeight="1" x14ac:dyDescent="0.35">
      <c r="C4" s="129" t="s">
        <v>25</v>
      </c>
      <c r="D4" s="130"/>
      <c r="E4" s="5"/>
      <c r="F4" s="30"/>
      <c r="G4" s="131"/>
      <c r="H4" s="131"/>
      <c r="I4" s="6"/>
      <c r="N4" s="1"/>
      <c r="O4" s="1"/>
      <c r="P4" s="1"/>
    </row>
    <row r="5" spans="3:16" ht="22.15" customHeight="1" x14ac:dyDescent="0.25">
      <c r="C5" s="110"/>
      <c r="D5" s="111"/>
      <c r="E5" s="38" t="s">
        <v>21</v>
      </c>
      <c r="F5" s="39"/>
      <c r="G5" s="40" t="s">
        <v>6</v>
      </c>
      <c r="H5" s="5"/>
      <c r="I5" s="6"/>
    </row>
    <row r="6" spans="3:16" x14ac:dyDescent="0.25">
      <c r="C6" s="4"/>
      <c r="D6" s="5"/>
      <c r="E6" s="5"/>
      <c r="F6" s="5"/>
      <c r="G6" s="5"/>
      <c r="H6" s="5"/>
      <c r="I6" s="6"/>
    </row>
    <row r="7" spans="3:16" x14ac:dyDescent="0.25">
      <c r="C7" s="4"/>
      <c r="D7" s="5"/>
      <c r="E7" s="5"/>
      <c r="F7" s="18" t="s">
        <v>2</v>
      </c>
      <c r="G7" s="5"/>
      <c r="H7" s="18" t="s">
        <v>1</v>
      </c>
      <c r="I7" s="6"/>
    </row>
    <row r="8" spans="3:16" x14ac:dyDescent="0.25">
      <c r="C8" s="4"/>
      <c r="D8" s="5"/>
      <c r="E8" s="5"/>
      <c r="F8" s="5"/>
      <c r="G8" s="5"/>
      <c r="H8" s="5"/>
      <c r="I8" s="6"/>
    </row>
    <row r="9" spans="3:16" ht="20.100000000000001" customHeight="1" x14ac:dyDescent="0.25">
      <c r="C9" s="4"/>
      <c r="D9" s="5"/>
      <c r="E9" s="41" t="s">
        <v>11</v>
      </c>
      <c r="F9" s="46">
        <v>33.799999999999997</v>
      </c>
      <c r="G9" s="41" t="s">
        <v>11</v>
      </c>
      <c r="H9" s="46">
        <v>36.5</v>
      </c>
      <c r="I9" s="6"/>
    </row>
    <row r="10" spans="3:16" ht="20.100000000000001" customHeight="1" x14ac:dyDescent="0.25">
      <c r="C10" s="4"/>
      <c r="D10" s="5"/>
      <c r="E10" s="41" t="s">
        <v>0</v>
      </c>
      <c r="F10" s="29">
        <v>35</v>
      </c>
      <c r="G10" s="41" t="s">
        <v>0</v>
      </c>
      <c r="H10" s="29">
        <v>37</v>
      </c>
      <c r="I10" s="6"/>
    </row>
    <row r="11" spans="3:16" ht="20.100000000000001" customHeight="1" x14ac:dyDescent="0.25">
      <c r="C11" s="4"/>
      <c r="D11" s="5"/>
      <c r="E11" s="41" t="s">
        <v>12</v>
      </c>
      <c r="F11" s="29">
        <v>116</v>
      </c>
      <c r="G11" s="41" t="s">
        <v>12</v>
      </c>
      <c r="H11" s="29">
        <v>128</v>
      </c>
      <c r="I11" s="6"/>
    </row>
    <row r="12" spans="3:16" x14ac:dyDescent="0.25">
      <c r="C12" s="4"/>
      <c r="D12" s="5"/>
      <c r="E12" s="10" t="s">
        <v>16</v>
      </c>
      <c r="F12" s="35">
        <f>F9-F10</f>
        <v>-1.2000000000000028</v>
      </c>
      <c r="G12" s="10" t="s">
        <v>16</v>
      </c>
      <c r="H12" s="35">
        <f>H9-H10</f>
        <v>-0.5</v>
      </c>
      <c r="I12" s="6"/>
      <c r="J12" s="23"/>
    </row>
    <row r="13" spans="3:16" x14ac:dyDescent="0.25">
      <c r="C13" s="4"/>
      <c r="D13" s="5"/>
      <c r="E13" s="5"/>
      <c r="F13" s="5"/>
      <c r="G13" s="5"/>
      <c r="H13" s="5"/>
      <c r="I13" s="6"/>
    </row>
    <row r="14" spans="3:16" ht="18.75" x14ac:dyDescent="0.3">
      <c r="C14" s="4"/>
      <c r="D14" s="5"/>
      <c r="E14" s="12" t="s">
        <v>13</v>
      </c>
      <c r="F14" s="17">
        <f>D40</f>
        <v>0</v>
      </c>
      <c r="G14" s="13"/>
      <c r="H14" s="17">
        <f>E40</f>
        <v>0</v>
      </c>
      <c r="I14" s="6"/>
    </row>
    <row r="15" spans="3:16" x14ac:dyDescent="0.25">
      <c r="C15" s="4"/>
      <c r="D15" s="5"/>
      <c r="E15" s="7"/>
      <c r="F15" s="8"/>
      <c r="G15" s="5"/>
      <c r="H15" s="8"/>
      <c r="I15" s="6"/>
    </row>
    <row r="16" spans="3:16" x14ac:dyDescent="0.25">
      <c r="C16" s="132" t="s">
        <v>59</v>
      </c>
      <c r="D16" s="133"/>
      <c r="E16" s="133"/>
      <c r="F16" s="133"/>
      <c r="G16" s="133"/>
      <c r="H16" s="133"/>
      <c r="I16" s="134"/>
    </row>
    <row r="17" spans="1:11" x14ac:dyDescent="0.25">
      <c r="C17" s="4"/>
      <c r="D17" s="5"/>
      <c r="E17" s="5"/>
      <c r="F17" s="5"/>
      <c r="G17" s="5"/>
      <c r="H17" s="5"/>
      <c r="I17" s="6"/>
    </row>
    <row r="18" spans="1:11" x14ac:dyDescent="0.25">
      <c r="C18" s="4"/>
      <c r="D18" s="57" t="s">
        <v>17</v>
      </c>
      <c r="E18" s="5"/>
      <c r="F18" s="5"/>
      <c r="G18" s="5"/>
      <c r="H18" s="5"/>
      <c r="I18" s="6"/>
    </row>
    <row r="19" spans="1:11" x14ac:dyDescent="0.25">
      <c r="C19" s="4"/>
      <c r="D19" s="9" t="s">
        <v>3</v>
      </c>
      <c r="E19" s="5"/>
      <c r="F19" s="56">
        <v>10</v>
      </c>
      <c r="G19" s="5"/>
      <c r="H19" s="20">
        <v>20</v>
      </c>
      <c r="I19" s="6"/>
    </row>
    <row r="20" spans="1:11" ht="5.65" customHeight="1" x14ac:dyDescent="0.25">
      <c r="C20" s="4"/>
      <c r="D20" s="7"/>
      <c r="E20" s="5"/>
      <c r="F20" s="70"/>
      <c r="G20" s="5"/>
      <c r="H20" s="70"/>
      <c r="I20" s="6"/>
    </row>
    <row r="21" spans="1:11" x14ac:dyDescent="0.25">
      <c r="C21" s="4"/>
      <c r="D21" s="9" t="s">
        <v>18</v>
      </c>
      <c r="E21" s="5"/>
      <c r="F21" s="79">
        <f>F51</f>
        <v>4</v>
      </c>
      <c r="G21" s="21"/>
      <c r="H21" s="79">
        <f>H51</f>
        <v>11</v>
      </c>
      <c r="I21" s="22"/>
      <c r="K21" s="80"/>
    </row>
    <row r="22" spans="1:11" x14ac:dyDescent="0.25">
      <c r="C22" s="4"/>
      <c r="D22" s="7" t="s">
        <v>4</v>
      </c>
      <c r="E22" s="19">
        <f>F40</f>
        <v>0.95</v>
      </c>
      <c r="F22" s="94">
        <f>ROUND(F21*F40,3)</f>
        <v>3.8</v>
      </c>
      <c r="G22" s="5"/>
      <c r="H22" s="94">
        <f>ROUND(H21*F40,3)</f>
        <v>10.45</v>
      </c>
      <c r="I22" s="6"/>
    </row>
    <row r="23" spans="1:11" x14ac:dyDescent="0.25">
      <c r="C23" s="4"/>
      <c r="D23" s="9" t="s">
        <v>13</v>
      </c>
      <c r="E23" s="5"/>
      <c r="F23" s="11">
        <f>F14</f>
        <v>0</v>
      </c>
      <c r="G23" s="8"/>
      <c r="H23" s="11">
        <f>H14</f>
        <v>0</v>
      </c>
      <c r="I23" s="6"/>
    </row>
    <row r="24" spans="1:11" x14ac:dyDescent="0.25">
      <c r="C24" s="4"/>
      <c r="D24" s="7"/>
      <c r="E24" s="5"/>
      <c r="F24" s="8"/>
      <c r="G24" s="8"/>
      <c r="H24" s="8"/>
      <c r="I24" s="6"/>
    </row>
    <row r="25" spans="1:11" ht="18.75" x14ac:dyDescent="0.3">
      <c r="C25" s="4"/>
      <c r="D25" s="14" t="s">
        <v>19</v>
      </c>
      <c r="E25" s="15"/>
      <c r="F25" s="16">
        <f>ROUND(F22+F23,0)</f>
        <v>4</v>
      </c>
      <c r="G25" s="13"/>
      <c r="H25" s="16">
        <f>ROUND(H22+H23,0)</f>
        <v>10</v>
      </c>
      <c r="I25" s="6"/>
    </row>
    <row r="26" spans="1:11" x14ac:dyDescent="0.25">
      <c r="C26" s="4"/>
      <c r="D26" s="5"/>
      <c r="E26" s="5"/>
      <c r="F26" s="5"/>
      <c r="G26" s="5"/>
      <c r="H26" s="5"/>
      <c r="I26" s="6"/>
    </row>
    <row r="27" spans="1:11" x14ac:dyDescent="0.25">
      <c r="C27" s="4"/>
      <c r="D27" s="5"/>
      <c r="E27" s="5"/>
      <c r="F27" s="5"/>
      <c r="G27" s="5"/>
      <c r="H27" s="5"/>
      <c r="I27" s="6"/>
    </row>
    <row r="28" spans="1:11" x14ac:dyDescent="0.25">
      <c r="C28" s="112" t="s">
        <v>97</v>
      </c>
      <c r="D28" s="113"/>
      <c r="E28" s="113"/>
      <c r="F28" s="113"/>
      <c r="G28" s="113"/>
      <c r="H28" s="113"/>
      <c r="I28" s="114"/>
    </row>
    <row r="29" spans="1:11" ht="15.75" thickBot="1" x14ac:dyDescent="0.3">
      <c r="C29" s="115"/>
      <c r="D29" s="116"/>
      <c r="E29" s="116"/>
      <c r="F29" s="116"/>
      <c r="G29" s="116"/>
      <c r="H29" s="116"/>
      <c r="I29" s="117"/>
    </row>
    <row r="30" spans="1:11" hidden="1" x14ac:dyDescent="0.25">
      <c r="D30" t="s">
        <v>14</v>
      </c>
      <c r="E30" t="s">
        <v>15</v>
      </c>
    </row>
    <row r="31" spans="1:11" hidden="1" x14ac:dyDescent="0.25">
      <c r="A31">
        <v>1</v>
      </c>
      <c r="C31" t="s">
        <v>5</v>
      </c>
      <c r="D31" s="1">
        <f>IF($H$9&gt;$F$9,0,$F$9-$H$9)</f>
        <v>0</v>
      </c>
      <c r="E31" s="1">
        <f>IF($F$9&gt;$H$9,0,$H$9-$F$9)</f>
        <v>2.7000000000000028</v>
      </c>
      <c r="F31">
        <v>0.95</v>
      </c>
    </row>
    <row r="32" spans="1:11" hidden="1" x14ac:dyDescent="0.25">
      <c r="A32">
        <v>2</v>
      </c>
      <c r="C32" t="s">
        <v>24</v>
      </c>
      <c r="D32" s="1">
        <f>IF($H$9&gt;$F$9,0,$F$9-$H$9)</f>
        <v>0</v>
      </c>
      <c r="E32" s="1">
        <f>IF($F$9&gt;$H$9,0,$H$9-$F$9)</f>
        <v>2.7000000000000028</v>
      </c>
      <c r="F32">
        <v>1</v>
      </c>
    </row>
    <row r="33" spans="1:8" hidden="1" x14ac:dyDescent="0.25">
      <c r="A33">
        <v>3</v>
      </c>
      <c r="C33" t="s">
        <v>6</v>
      </c>
      <c r="D33" s="1">
        <v>0</v>
      </c>
      <c r="E33" s="1">
        <v>0</v>
      </c>
      <c r="F33">
        <v>0.95</v>
      </c>
    </row>
    <row r="34" spans="1:8" hidden="1" x14ac:dyDescent="0.25">
      <c r="A34">
        <v>4</v>
      </c>
      <c r="C34" t="s">
        <v>7</v>
      </c>
      <c r="D34" s="1">
        <f>IF($H$9&gt;$F$9,0,$F$9-$H$9)</f>
        <v>0</v>
      </c>
      <c r="E34" s="1">
        <f>IF($F$9&gt;$H$9,0,$H$9-$F$9)</f>
        <v>2.7000000000000028</v>
      </c>
      <c r="F34">
        <v>1</v>
      </c>
    </row>
    <row r="35" spans="1:8" hidden="1" x14ac:dyDescent="0.25">
      <c r="A35">
        <v>5</v>
      </c>
      <c r="C35" t="s">
        <v>8</v>
      </c>
      <c r="D35" s="1">
        <f>IF($H$9&gt;$F$9,0,$F$9-$H$9)</f>
        <v>0</v>
      </c>
      <c r="E35" s="1">
        <f>IF($F$9&gt;$H$9,0,$H$9-$F$9)</f>
        <v>2.7000000000000028</v>
      </c>
      <c r="F35">
        <v>0.85</v>
      </c>
    </row>
    <row r="36" spans="1:8" hidden="1" x14ac:dyDescent="0.25">
      <c r="A36">
        <v>6</v>
      </c>
      <c r="C36" t="s">
        <v>9</v>
      </c>
      <c r="D36" s="1">
        <v>0</v>
      </c>
      <c r="E36" s="1">
        <v>0</v>
      </c>
      <c r="F36">
        <v>0.85</v>
      </c>
    </row>
    <row r="37" spans="1:8" hidden="1" x14ac:dyDescent="0.25">
      <c r="A37">
        <v>7</v>
      </c>
      <c r="C37" t="s">
        <v>20</v>
      </c>
      <c r="D37" s="1">
        <v>0</v>
      </c>
      <c r="E37" s="1">
        <v>0</v>
      </c>
      <c r="F37">
        <v>0.9</v>
      </c>
    </row>
    <row r="38" spans="1:8" hidden="1" x14ac:dyDescent="0.25">
      <c r="A38">
        <v>8</v>
      </c>
      <c r="C38" t="s">
        <v>10</v>
      </c>
      <c r="D38" s="1">
        <f>IF($H$9&gt;$F$9,0,$F$9-$H$9)</f>
        <v>0</v>
      </c>
      <c r="E38" s="1">
        <f>IF($F$9&gt;$H$9,0,$H$9-$F$9)</f>
        <v>2.7000000000000028</v>
      </c>
      <c r="F38">
        <v>0.9</v>
      </c>
    </row>
    <row r="39" spans="1:8" hidden="1" x14ac:dyDescent="0.25"/>
    <row r="40" spans="1:8" hidden="1" x14ac:dyDescent="0.25">
      <c r="D40" s="1">
        <f>VLOOKUP(G5,C31:D38,2,FALSE)</f>
        <v>0</v>
      </c>
      <c r="E40" s="1">
        <f>VLOOKUP(G5,C31:E38,3,FALSE)</f>
        <v>0</v>
      </c>
      <c r="F40">
        <f>VLOOKUP(G5,C31:F38,4,FALSE)</f>
        <v>0.95</v>
      </c>
    </row>
    <row r="41" spans="1:8" hidden="1" x14ac:dyDescent="0.25"/>
    <row r="42" spans="1:8" hidden="1" x14ac:dyDescent="0.25">
      <c r="C42" t="s">
        <v>26</v>
      </c>
    </row>
    <row r="43" spans="1:8" hidden="1" x14ac:dyDescent="0.25">
      <c r="C43" t="s">
        <v>27</v>
      </c>
    </row>
    <row r="44" spans="1:8" hidden="1" x14ac:dyDescent="0.25">
      <c r="C44" t="s">
        <v>28</v>
      </c>
    </row>
    <row r="45" spans="1:8" hidden="1" x14ac:dyDescent="0.25">
      <c r="C45" t="s">
        <v>29</v>
      </c>
      <c r="F45" t="s">
        <v>73</v>
      </c>
      <c r="H45" t="s">
        <v>73</v>
      </c>
    </row>
    <row r="46" spans="1:8" hidden="1" x14ac:dyDescent="0.25"/>
    <row r="47" spans="1:8" hidden="1" x14ac:dyDescent="0.25">
      <c r="E47" t="s">
        <v>74</v>
      </c>
      <c r="F47" s="51">
        <f>((F19/2)*F11/113)+F12</f>
        <v>3.9327433628318555</v>
      </c>
      <c r="H47" s="51">
        <f>((H19/2)*H11/113)+H12</f>
        <v>10.827433628318584</v>
      </c>
    </row>
    <row r="48" spans="1:8" hidden="1" x14ac:dyDescent="0.25">
      <c r="F48" s="78">
        <f>IF(F47&lt;0,F47*-1,F47)</f>
        <v>3.9327433628318555</v>
      </c>
      <c r="H48" s="78">
        <f>IF(H47&lt;0,H47*-1,H47)</f>
        <v>10.827433628318584</v>
      </c>
    </row>
    <row r="49" spans="6:8" hidden="1" x14ac:dyDescent="0.25">
      <c r="F49">
        <f>IF(F48-INT(F48)=0.5,IF(F47&lt;0,F47+0.001,F47),F47)</f>
        <v>3.9327433628318555</v>
      </c>
      <c r="H49" s="78">
        <f>IF(H48-INT(H48)=0.5,IF(H47&lt;0,H47+0.001,H47),H47)</f>
        <v>10.827433628318584</v>
      </c>
    </row>
    <row r="50" spans="6:8" hidden="1" x14ac:dyDescent="0.25">
      <c r="F50">
        <f>ROUND(F49,0)</f>
        <v>4</v>
      </c>
      <c r="H50">
        <f>ROUND(H49,0)</f>
        <v>11</v>
      </c>
    </row>
    <row r="51" spans="6:8" hidden="1" x14ac:dyDescent="0.25">
      <c r="F51">
        <f>IF($G$3=$C$45,F47,F50)</f>
        <v>4</v>
      </c>
      <c r="H51" s="78">
        <f>IF($G$3=$C$45,H47,H50)</f>
        <v>11</v>
      </c>
    </row>
    <row r="52" spans="6:8" hidden="1" x14ac:dyDescent="0.25"/>
    <row r="53" spans="6:8" hidden="1" x14ac:dyDescent="0.25">
      <c r="F53" t="s">
        <v>19</v>
      </c>
      <c r="H53" t="s">
        <v>19</v>
      </c>
    </row>
    <row r="54" spans="6:8" hidden="1" x14ac:dyDescent="0.25"/>
    <row r="55" spans="6:8" hidden="1" x14ac:dyDescent="0.25">
      <c r="F55" s="78">
        <f>F22+F23</f>
        <v>3.8</v>
      </c>
      <c r="H55" s="78">
        <f>H22+H23</f>
        <v>10.45</v>
      </c>
    </row>
    <row r="56" spans="6:8" hidden="1" x14ac:dyDescent="0.25">
      <c r="F56" s="78">
        <f>IF(F55&lt;0,ROUND(F55*-1,3),ROUND(F55,3))</f>
        <v>3.8</v>
      </c>
      <c r="H56" s="78">
        <f>IF(H55&lt;0,ROUND(H55*-1,3),ROUND(H55,3))</f>
        <v>10.45</v>
      </c>
    </row>
    <row r="57" spans="6:8" hidden="1" x14ac:dyDescent="0.25">
      <c r="F57" s="78">
        <f>IF(F56-INT(F56)=0.5,IF(F55&lt;0,F55+0.001,F55),F55)</f>
        <v>3.8</v>
      </c>
      <c r="H57" s="78">
        <f>IF(H56-INT(H56)=0.5,IF(H55&lt;0,H55+0.001,H55),H55)</f>
        <v>10.45</v>
      </c>
    </row>
    <row r="58" spans="6:8" hidden="1" x14ac:dyDescent="0.25">
      <c r="F58">
        <f>ROUND(F57,0)</f>
        <v>4</v>
      </c>
      <c r="H58">
        <f>ROUND(H57,0)</f>
        <v>10</v>
      </c>
    </row>
    <row r="59" spans="6:8" hidden="1" x14ac:dyDescent="0.25"/>
  </sheetData>
  <sheetProtection algorithmName="SHA-512" hashValue="UjK8kpCqRfz1XhZOCAYdTRw/qaKRVQzHJsUvik2rMhljg+6RQT9gRnWp+tSq8/4ITaPcLIX13i1PmsxdqMWfCw==" saltValue="V3RIibRDUweJJT5IHrZ6yw==" spinCount="100000" sheet="1" selectLockedCells="1"/>
  <mergeCells count="7">
    <mergeCell ref="C2:D2"/>
    <mergeCell ref="C5:D5"/>
    <mergeCell ref="C28:I29"/>
    <mergeCell ref="C4:D4"/>
    <mergeCell ref="C3:D3"/>
    <mergeCell ref="G4:H4"/>
    <mergeCell ref="C16:I16"/>
  </mergeCells>
  <conditionalFormatting sqref="C17:I29">
    <cfRule type="expression" dxfId="34" priority="5">
      <formula>$G$5="Individual Medal (Scratch)"</formula>
    </cfRule>
  </conditionalFormatting>
  <conditionalFormatting sqref="C16:I16">
    <cfRule type="expression" dxfId="33" priority="3">
      <formula>$G$5=$C$32</formula>
    </cfRule>
    <cfRule type="expression" dxfId="32" priority="4">
      <formula>$G$5&lt;&gt;$C$32</formula>
    </cfRule>
  </conditionalFormatting>
  <conditionalFormatting sqref="F21">
    <cfRule type="expression" dxfId="31" priority="2">
      <formula>$G$3=$C$45</formula>
    </cfRule>
  </conditionalFormatting>
  <conditionalFormatting sqref="H21">
    <cfRule type="expression" dxfId="30" priority="1">
      <formula>$G$3=$C$45</formula>
    </cfRule>
  </conditionalFormatting>
  <dataValidations count="3">
    <dataValidation type="list" allowBlank="1" showInputMessage="1" showErrorMessage="1" sqref="G5" xr:uid="{4AAD8A3E-685D-4ADB-8A2F-81877C103398}">
      <formula1>$C$31:$C$38</formula1>
    </dataValidation>
    <dataValidation type="list" allowBlank="1" showInputMessage="1" showErrorMessage="1" sqref="G6" xr:uid="{B0840923-233A-4DAA-BFD1-C60D9AD6B0FC}">
      <formula1>#REF!</formula1>
    </dataValidation>
    <dataValidation type="list" allowBlank="1" showInputMessage="1" showErrorMessage="1" sqref="G3" xr:uid="{FFAFDB49-E08C-427D-8330-41C470827DF2}">
      <formula1>$C$42:$C$45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4634-4DD2-4BCD-9A7E-550ACBD8186F}">
  <dimension ref="A1:Z68"/>
  <sheetViews>
    <sheetView workbookViewId="0">
      <selection activeCell="N21" sqref="N21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3" max="13" width="9" customWidth="1"/>
    <col min="14" max="15" width="9" style="1" customWidth="1"/>
    <col min="16" max="26" width="9" hidden="1" customWidth="1"/>
    <col min="27" max="27" width="0" hidden="1" customWidth="1"/>
  </cols>
  <sheetData>
    <row r="1" spans="3:26" ht="15.75" thickBot="1" x14ac:dyDescent="0.3"/>
    <row r="2" spans="3:26" x14ac:dyDescent="0.25">
      <c r="C2" s="108" t="s">
        <v>22</v>
      </c>
      <c r="D2" s="109"/>
      <c r="E2" s="2"/>
      <c r="F2" s="2"/>
      <c r="G2" s="2"/>
      <c r="H2" s="2"/>
      <c r="I2" s="2"/>
      <c r="J2" s="2"/>
      <c r="K2" s="2"/>
      <c r="L2" s="2"/>
      <c r="M2" s="2"/>
      <c r="N2" s="58"/>
      <c r="O2" s="59"/>
    </row>
    <row r="3" spans="3:26" ht="22.35" customHeight="1" x14ac:dyDescent="0.25">
      <c r="C3" s="110" t="s">
        <v>23</v>
      </c>
      <c r="D3" s="111"/>
      <c r="E3" s="5"/>
      <c r="F3" s="30" t="s">
        <v>30</v>
      </c>
      <c r="G3" s="143" t="s">
        <v>26</v>
      </c>
      <c r="H3" s="143"/>
      <c r="I3" s="5"/>
      <c r="J3" s="5"/>
      <c r="K3" s="5"/>
      <c r="L3" s="5"/>
      <c r="M3" s="5"/>
      <c r="N3" s="8"/>
      <c r="O3" s="60"/>
    </row>
    <row r="4" spans="3:26" x14ac:dyDescent="0.25">
      <c r="C4" s="53"/>
      <c r="D4" s="54"/>
      <c r="E4" s="5"/>
      <c r="F4" s="5"/>
      <c r="G4" s="5"/>
      <c r="H4" s="5"/>
      <c r="I4" s="5"/>
      <c r="J4" s="5"/>
      <c r="K4" s="5"/>
      <c r="L4" s="5"/>
      <c r="M4" s="5"/>
      <c r="N4" s="8"/>
      <c r="O4" s="60"/>
    </row>
    <row r="5" spans="3:26" ht="22.35" customHeight="1" x14ac:dyDescent="0.35">
      <c r="C5" s="129" t="s">
        <v>39</v>
      </c>
      <c r="D5" s="130"/>
      <c r="E5" s="31" t="s">
        <v>21</v>
      </c>
      <c r="F5" s="32"/>
      <c r="G5" s="143" t="s">
        <v>57</v>
      </c>
      <c r="H5" s="143"/>
      <c r="I5" s="5"/>
      <c r="J5" s="48">
        <v>18</v>
      </c>
      <c r="K5" s="107" t="s">
        <v>107</v>
      </c>
      <c r="L5" s="5"/>
      <c r="M5" s="5"/>
      <c r="N5" s="8"/>
      <c r="O5" s="60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60"/>
    </row>
    <row r="7" spans="3:26" x14ac:dyDescent="0.25">
      <c r="C7" s="4"/>
      <c r="D7" s="5"/>
      <c r="E7" s="5"/>
      <c r="F7" s="54" t="s">
        <v>36</v>
      </c>
      <c r="G7" s="8"/>
      <c r="H7" s="54" t="s">
        <v>37</v>
      </c>
      <c r="I7" s="8"/>
      <c r="J7" s="8"/>
      <c r="K7" s="54" t="s">
        <v>38</v>
      </c>
      <c r="L7" s="5"/>
      <c r="M7" s="35"/>
      <c r="N7" s="82"/>
      <c r="O7" s="83"/>
      <c r="Q7" s="1" t="s">
        <v>33</v>
      </c>
      <c r="R7" s="1" t="s">
        <v>35</v>
      </c>
      <c r="S7" s="1" t="s">
        <v>16</v>
      </c>
      <c r="U7" s="92"/>
      <c r="V7" s="92" t="s">
        <v>46</v>
      </c>
      <c r="W7" s="92"/>
      <c r="X7" s="92" t="s">
        <v>47</v>
      </c>
      <c r="Z7" s="92" t="s">
        <v>48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61"/>
      <c r="N8" s="61"/>
      <c r="O8" s="83"/>
      <c r="Q8" s="1"/>
      <c r="R8" s="1"/>
      <c r="S8" s="1"/>
      <c r="U8" s="92"/>
      <c r="V8" s="92"/>
      <c r="W8" s="92"/>
      <c r="X8" s="92"/>
      <c r="Z8" s="92"/>
    </row>
    <row r="9" spans="3:26" ht="20.100000000000001" customHeight="1" x14ac:dyDescent="0.25">
      <c r="C9" s="4"/>
      <c r="D9" s="5"/>
      <c r="E9" s="7" t="s">
        <v>11</v>
      </c>
      <c r="F9" s="49">
        <v>71.2</v>
      </c>
      <c r="G9" s="7" t="s">
        <v>11</v>
      </c>
      <c r="H9" s="49">
        <v>72.400000000000006</v>
      </c>
      <c r="I9" s="5"/>
      <c r="J9" s="7" t="s">
        <v>11</v>
      </c>
      <c r="K9" s="49"/>
      <c r="L9" s="5"/>
      <c r="M9" s="10"/>
      <c r="N9" s="85"/>
      <c r="O9" s="83"/>
      <c r="Q9" s="1">
        <f>F9</f>
        <v>71.2</v>
      </c>
      <c r="R9" s="1">
        <f>F10</f>
        <v>71</v>
      </c>
      <c r="S9" s="1">
        <f>F12</f>
        <v>36</v>
      </c>
      <c r="U9" s="92" t="s">
        <v>16</v>
      </c>
      <c r="V9" s="106">
        <f>F9-F10</f>
        <v>0.20000000000000284</v>
      </c>
      <c r="W9" s="106"/>
      <c r="X9" s="106">
        <f>H9-H10</f>
        <v>-1.5999999999999943</v>
      </c>
      <c r="Z9" s="106">
        <f>K9-K10</f>
        <v>0</v>
      </c>
    </row>
    <row r="10" spans="3:26" ht="20.100000000000001" customHeight="1" x14ac:dyDescent="0.25">
      <c r="C10" s="4"/>
      <c r="D10" s="5"/>
      <c r="E10" s="7" t="s">
        <v>0</v>
      </c>
      <c r="F10" s="48">
        <v>71</v>
      </c>
      <c r="G10" s="7" t="s">
        <v>0</v>
      </c>
      <c r="H10" s="48">
        <v>74</v>
      </c>
      <c r="I10" s="5"/>
      <c r="J10" s="7" t="s">
        <v>0</v>
      </c>
      <c r="K10" s="48"/>
      <c r="L10" s="5"/>
      <c r="M10" s="10"/>
      <c r="N10" s="86"/>
      <c r="O10" s="83"/>
      <c r="Q10" s="1">
        <f>H9</f>
        <v>72.400000000000006</v>
      </c>
      <c r="R10" s="1">
        <f>H10</f>
        <v>74</v>
      </c>
      <c r="S10" s="1">
        <f>H12</f>
        <v>38</v>
      </c>
      <c r="U10" s="92" t="s">
        <v>101</v>
      </c>
      <c r="V10" s="106">
        <f>TRUNC(V9)</f>
        <v>0</v>
      </c>
      <c r="W10" s="92"/>
      <c r="X10" s="106">
        <f>TRUNC(X9)</f>
        <v>-1</v>
      </c>
      <c r="Z10" s="106">
        <f>TRUNC(Z9)</f>
        <v>0</v>
      </c>
    </row>
    <row r="11" spans="3:26" ht="20.100000000000001" customHeight="1" x14ac:dyDescent="0.25">
      <c r="C11" s="4"/>
      <c r="D11" s="5"/>
      <c r="E11" s="7" t="s">
        <v>12</v>
      </c>
      <c r="F11" s="48">
        <v>127</v>
      </c>
      <c r="G11" s="7" t="s">
        <v>12</v>
      </c>
      <c r="H11" s="48">
        <v>128</v>
      </c>
      <c r="I11" s="5"/>
      <c r="J11" s="7" t="s">
        <v>12</v>
      </c>
      <c r="K11" s="48"/>
      <c r="L11" s="5"/>
      <c r="M11" s="10"/>
      <c r="N11" s="86"/>
      <c r="O11" s="83"/>
      <c r="Q11" s="1">
        <f>K9</f>
        <v>0</v>
      </c>
      <c r="R11" s="1">
        <f>K10</f>
        <v>0</v>
      </c>
      <c r="S11" s="1">
        <f>K12</f>
        <v>0</v>
      </c>
      <c r="U11" s="92" t="s">
        <v>102</v>
      </c>
      <c r="V11" s="106">
        <f>V9-V10</f>
        <v>0.20000000000000284</v>
      </c>
      <c r="W11" s="92"/>
      <c r="X11" s="106">
        <f>X9-X10</f>
        <v>-0.59999999999999432</v>
      </c>
      <c r="Z11" s="106">
        <f>Z9-Z10</f>
        <v>0</v>
      </c>
    </row>
    <row r="12" spans="3:26" x14ac:dyDescent="0.25">
      <c r="C12" s="4"/>
      <c r="D12" s="5"/>
      <c r="E12" s="10" t="s">
        <v>16</v>
      </c>
      <c r="F12" s="35">
        <f>IF(F9&gt;0,36-V12,0)</f>
        <v>36</v>
      </c>
      <c r="G12" s="10" t="s">
        <v>16</v>
      </c>
      <c r="H12" s="35">
        <f>IF(H9&gt;0,36-X12,0)</f>
        <v>38</v>
      </c>
      <c r="I12" s="61"/>
      <c r="J12" s="10" t="s">
        <v>16</v>
      </c>
      <c r="K12" s="35">
        <f>IF(K9&gt;0,36-Z12,0)</f>
        <v>0</v>
      </c>
      <c r="L12" s="96"/>
      <c r="M12" s="10"/>
      <c r="N12" s="35"/>
      <c r="O12" s="83"/>
      <c r="Q12" s="37">
        <f>N9</f>
        <v>0</v>
      </c>
      <c r="R12" s="1">
        <f>N10</f>
        <v>0</v>
      </c>
      <c r="S12" s="1">
        <f>N12</f>
        <v>0</v>
      </c>
      <c r="U12" s="92" t="s">
        <v>103</v>
      </c>
      <c r="V12" s="92">
        <f>IF(V9&lt;0,IF(V11&lt;-0.5,V10-1,V10),ROUND(V9,0))</f>
        <v>0</v>
      </c>
      <c r="W12" s="92"/>
      <c r="X12" s="92">
        <f>IF(X9&lt;0,IF(X11&lt;-0.5,X10-1,X10),ROUND(X9,0))</f>
        <v>-2</v>
      </c>
      <c r="Z12" s="92">
        <f>IF(Z9&lt;0,IF(Z11&lt;-0.5,Z10-1,Z10),ROUND(Z9,0))</f>
        <v>0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61"/>
      <c r="N13" s="61"/>
      <c r="O13" s="83"/>
      <c r="P13" s="36" t="s">
        <v>34</v>
      </c>
      <c r="Q13" s="1">
        <f>SMALL(Q9:Q12,COUNTIF($Q$9:$Q$12,0)+1)</f>
        <v>71.2</v>
      </c>
      <c r="R13" s="1">
        <f>SMALL(R9:R12,COUNTIF($R$9:$R$12,0)+1)</f>
        <v>71</v>
      </c>
      <c r="S13" s="1">
        <f>MAX(S9:S12)</f>
        <v>38</v>
      </c>
    </row>
    <row r="14" spans="3:26" ht="15.75" x14ac:dyDescent="0.25">
      <c r="C14" s="4"/>
      <c r="D14" s="5"/>
      <c r="E14" s="27" t="s">
        <v>13</v>
      </c>
      <c r="F14" s="62">
        <f>D38</f>
        <v>0</v>
      </c>
      <c r="G14" s="26"/>
      <c r="H14" s="62">
        <f>E38</f>
        <v>1.2000000000000028</v>
      </c>
      <c r="I14" s="5"/>
      <c r="J14" s="5"/>
      <c r="K14" s="62">
        <f>F38</f>
        <v>0</v>
      </c>
      <c r="L14" s="5"/>
      <c r="M14" s="61"/>
      <c r="N14" s="84"/>
      <c r="O14" s="83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60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60"/>
    </row>
    <row r="17" spans="1:24" x14ac:dyDescent="0.25">
      <c r="C17" s="4"/>
      <c r="D17" s="5"/>
      <c r="E17" s="5"/>
      <c r="F17" s="63" t="s">
        <v>45</v>
      </c>
      <c r="G17" s="64"/>
      <c r="H17" s="65" t="s">
        <v>42</v>
      </c>
      <c r="I17" s="54"/>
      <c r="J17" s="54"/>
      <c r="K17" s="63" t="s">
        <v>43</v>
      </c>
      <c r="L17" s="64"/>
      <c r="M17" s="64"/>
      <c r="N17" s="65" t="s">
        <v>44</v>
      </c>
      <c r="O17" s="60"/>
    </row>
    <row r="18" spans="1:24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32</v>
      </c>
      <c r="O18" s="60"/>
    </row>
    <row r="19" spans="1:24" x14ac:dyDescent="0.25">
      <c r="C19" s="4"/>
      <c r="D19" s="45"/>
      <c r="E19" s="7" t="s">
        <v>3</v>
      </c>
      <c r="F19" s="50">
        <v>10</v>
      </c>
      <c r="G19" s="5"/>
      <c r="H19" s="50">
        <v>20</v>
      </c>
      <c r="I19" s="5"/>
      <c r="J19" s="5"/>
      <c r="K19" s="50">
        <v>30</v>
      </c>
      <c r="L19" s="5"/>
      <c r="M19" s="5"/>
      <c r="N19" s="50">
        <v>40</v>
      </c>
      <c r="O19" s="60"/>
    </row>
    <row r="20" spans="1:24" ht="3.4" customHeight="1" x14ac:dyDescent="0.25">
      <c r="C20" s="9"/>
      <c r="D20" s="45"/>
      <c r="E20" s="5"/>
      <c r="F20" s="45"/>
      <c r="G20" s="5"/>
      <c r="H20" s="45"/>
      <c r="I20" s="5"/>
      <c r="J20" s="5"/>
      <c r="K20" s="45"/>
      <c r="L20" s="5"/>
      <c r="M20" s="5"/>
      <c r="N20" s="8"/>
      <c r="O20" s="60"/>
    </row>
    <row r="21" spans="1:24" ht="18" customHeight="1" x14ac:dyDescent="0.25">
      <c r="C21" s="9"/>
      <c r="D21" s="45"/>
      <c r="E21" s="5" t="s">
        <v>50</v>
      </c>
      <c r="F21" s="50" t="s">
        <v>46</v>
      </c>
      <c r="G21" s="5"/>
      <c r="H21" s="50" t="s">
        <v>47</v>
      </c>
      <c r="I21" s="5"/>
      <c r="J21" s="5"/>
      <c r="K21" s="50" t="s">
        <v>46</v>
      </c>
      <c r="L21" s="5"/>
      <c r="M21" s="5"/>
      <c r="N21" s="50" t="s">
        <v>47</v>
      </c>
      <c r="O21" s="60"/>
    </row>
    <row r="22" spans="1:24" ht="15.4" customHeight="1" x14ac:dyDescent="0.25">
      <c r="C22" s="9"/>
      <c r="D22" s="45"/>
      <c r="E22" s="5"/>
      <c r="F22" s="45"/>
      <c r="G22" s="66" t="s">
        <v>55</v>
      </c>
      <c r="H22" s="45"/>
      <c r="I22" s="5"/>
      <c r="J22" s="5"/>
      <c r="K22" s="45"/>
      <c r="L22" s="138" t="s">
        <v>55</v>
      </c>
      <c r="M22" s="139"/>
      <c r="N22" s="8"/>
      <c r="O22" s="60"/>
    </row>
    <row r="23" spans="1:24" x14ac:dyDescent="0.25">
      <c r="C23" s="4"/>
      <c r="D23" s="42"/>
      <c r="E23" s="7" t="s">
        <v>18</v>
      </c>
      <c r="F23" s="81">
        <f>F53</f>
        <v>11</v>
      </c>
      <c r="G23" s="47"/>
      <c r="H23" s="81">
        <f>H53</f>
        <v>23</v>
      </c>
      <c r="I23" s="47"/>
      <c r="J23" s="47"/>
      <c r="K23" s="81">
        <f>L53</f>
        <v>34</v>
      </c>
      <c r="L23" s="5"/>
      <c r="M23" s="5"/>
      <c r="N23" s="81">
        <f>O53</f>
        <v>45</v>
      </c>
      <c r="O23" s="60"/>
    </row>
    <row r="24" spans="1:24" x14ac:dyDescent="0.25">
      <c r="C24" s="4"/>
      <c r="D24" s="67"/>
      <c r="E24" s="7" t="s">
        <v>4</v>
      </c>
      <c r="F24" s="91">
        <f>F23*P39</f>
        <v>6.6</v>
      </c>
      <c r="G24" s="95">
        <f>IF(I38="Y",F24+H24,(F23+H23)/2)</f>
        <v>17</v>
      </c>
      <c r="H24" s="91">
        <f>H23*P40</f>
        <v>9.2000000000000011</v>
      </c>
      <c r="I24" s="42"/>
      <c r="J24" s="42"/>
      <c r="K24" s="91">
        <f>K23*P41</f>
        <v>20.399999999999999</v>
      </c>
      <c r="L24" s="136">
        <f>IF(I38="Y",K24+N24,(K23+N23)/2)</f>
        <v>39.5</v>
      </c>
      <c r="M24" s="136"/>
      <c r="N24" s="91">
        <f>N23*P42</f>
        <v>18</v>
      </c>
      <c r="O24" s="60"/>
    </row>
    <row r="25" spans="1:24" x14ac:dyDescent="0.25">
      <c r="C25" s="4"/>
      <c r="D25" s="42"/>
      <c r="E25" s="7" t="s">
        <v>13</v>
      </c>
      <c r="F25" s="68">
        <f>O39</f>
        <v>0</v>
      </c>
      <c r="G25" s="55">
        <f>(F25+H25)/2</f>
        <v>0.60000000000000142</v>
      </c>
      <c r="H25" s="68">
        <f>O40</f>
        <v>1.2000000000000028</v>
      </c>
      <c r="I25" s="42"/>
      <c r="J25" s="42"/>
      <c r="K25" s="68">
        <f>O41</f>
        <v>0</v>
      </c>
      <c r="L25" s="135">
        <f>(K25+N25)/2</f>
        <v>0.60000000000000142</v>
      </c>
      <c r="M25" s="135"/>
      <c r="N25" s="68">
        <f>O42</f>
        <v>1.2000000000000028</v>
      </c>
      <c r="O25" s="60"/>
    </row>
    <row r="26" spans="1:24" x14ac:dyDescent="0.25">
      <c r="C26" s="9"/>
      <c r="D26" s="5"/>
      <c r="E26" s="5"/>
      <c r="F26" s="8"/>
      <c r="G26" s="8"/>
      <c r="H26" s="8"/>
      <c r="I26" s="5"/>
      <c r="J26" s="5"/>
      <c r="K26" s="8"/>
      <c r="L26" s="5"/>
      <c r="M26" s="5"/>
      <c r="N26" s="8"/>
      <c r="O26" s="60"/>
    </row>
    <row r="27" spans="1:24" ht="15.75" x14ac:dyDescent="0.25">
      <c r="C27" s="24"/>
      <c r="D27" s="25"/>
      <c r="E27" s="24" t="s">
        <v>67</v>
      </c>
      <c r="F27" s="69"/>
      <c r="G27" s="62">
        <f>G60</f>
        <v>18</v>
      </c>
      <c r="H27" s="69"/>
      <c r="I27" s="5"/>
      <c r="J27" s="5"/>
      <c r="K27" s="69"/>
      <c r="L27" s="137">
        <f>M60</f>
        <v>40</v>
      </c>
      <c r="M27" s="137"/>
      <c r="N27" s="69"/>
      <c r="O27" s="60"/>
    </row>
    <row r="28" spans="1:24" x14ac:dyDescent="0.25">
      <c r="C28" s="4"/>
      <c r="D28" s="5"/>
      <c r="E28" s="5"/>
      <c r="F28" s="61" t="s">
        <v>62</v>
      </c>
      <c r="G28" s="61" t="str">
        <f>IF(ISNUMBER(SEARCH("Medal",G5)),"Y","N")</f>
        <v>Y</v>
      </c>
      <c r="H28" s="61"/>
      <c r="I28" s="61"/>
      <c r="J28" s="61"/>
      <c r="K28" s="61"/>
      <c r="L28" s="61" t="str">
        <f>IF(ISNUMBER(SEARCH("Medal",G5)),"Y","N")</f>
        <v>Y</v>
      </c>
      <c r="M28" s="5"/>
      <c r="N28" s="8"/>
      <c r="O28" s="60"/>
    </row>
    <row r="29" spans="1:24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60"/>
      <c r="X29" s="52"/>
    </row>
    <row r="30" spans="1:24" ht="23.25" customHeight="1" thickBot="1" x14ac:dyDescent="0.3">
      <c r="C30" s="140" t="s">
        <v>96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24" hidden="1" x14ac:dyDescent="0.25">
      <c r="D31" s="1" t="s">
        <v>41</v>
      </c>
      <c r="E31" s="1" t="s">
        <v>37</v>
      </c>
      <c r="F31" s="1" t="s">
        <v>38</v>
      </c>
      <c r="G31" s="1" t="s">
        <v>40</v>
      </c>
      <c r="H31" t="s">
        <v>4</v>
      </c>
      <c r="I31" s="1" t="s">
        <v>56</v>
      </c>
      <c r="J31" s="1"/>
      <c r="L31" s="1" t="s">
        <v>33</v>
      </c>
      <c r="M31" s="1" t="s">
        <v>35</v>
      </c>
      <c r="N31" s="1" t="s">
        <v>51</v>
      </c>
      <c r="O31" s="1" t="s">
        <v>52</v>
      </c>
      <c r="P31" s="1" t="s">
        <v>53</v>
      </c>
      <c r="Q31" s="1"/>
    </row>
    <row r="32" spans="1:24" hidden="1" x14ac:dyDescent="0.25">
      <c r="A32">
        <v>1</v>
      </c>
      <c r="C32" t="s">
        <v>57</v>
      </c>
      <c r="D32" s="1">
        <f>IF($F$9&gt;$Q$13,$F$9-$Q$13,0)</f>
        <v>0</v>
      </c>
      <c r="E32" s="1">
        <f>IF($H$9&gt;$Q$13,$H$9-$Q$13,0)</f>
        <v>1.2000000000000028</v>
      </c>
      <c r="F32" s="37">
        <f>IF($K$9&gt;$Q$13,$K$9-$Q$13,0)</f>
        <v>0</v>
      </c>
      <c r="G32" s="37">
        <f>IF($N$9&gt;$Q$13,$N$9-$Q$13,0)</f>
        <v>0</v>
      </c>
      <c r="H32">
        <v>0.95</v>
      </c>
      <c r="I32" t="s">
        <v>63</v>
      </c>
      <c r="J32" t="s">
        <v>77</v>
      </c>
      <c r="K32" t="s">
        <v>46</v>
      </c>
      <c r="L32">
        <f>F9</f>
        <v>71.2</v>
      </c>
      <c r="M32">
        <f>F10</f>
        <v>71</v>
      </c>
      <c r="N32">
        <f>F11</f>
        <v>127</v>
      </c>
      <c r="O32">
        <f>F14</f>
        <v>0</v>
      </c>
      <c r="P32" s="1"/>
      <c r="Q32" s="1"/>
    </row>
    <row r="33" spans="1:17" hidden="1" x14ac:dyDescent="0.25">
      <c r="A33">
        <v>2</v>
      </c>
      <c r="C33" t="s">
        <v>61</v>
      </c>
      <c r="D33" s="1">
        <f>IF($F$9&gt;$Q$13,$F$9-$Q$13,0)</f>
        <v>0</v>
      </c>
      <c r="E33" s="1">
        <f>IF($H$9&gt;$Q$13,$H$9-$Q$13,0)</f>
        <v>1.2000000000000028</v>
      </c>
      <c r="F33" s="37">
        <f>IF($K$9&gt;$Q$13,$K$9-$Q$13,0)</f>
        <v>0</v>
      </c>
      <c r="G33" s="37">
        <f>IF($N$9&gt;$Q$13,$N$9-$Q$13,0)</f>
        <v>0</v>
      </c>
      <c r="H33">
        <v>1</v>
      </c>
      <c r="I33" t="s">
        <v>64</v>
      </c>
      <c r="J33" t="s">
        <v>77</v>
      </c>
      <c r="K33" t="s">
        <v>47</v>
      </c>
      <c r="L33">
        <f>H9</f>
        <v>72.400000000000006</v>
      </c>
      <c r="M33">
        <f>H10</f>
        <v>74</v>
      </c>
      <c r="N33">
        <f>H11</f>
        <v>128</v>
      </c>
      <c r="O33">
        <f>H14</f>
        <v>1.2000000000000028</v>
      </c>
      <c r="P33" s="1"/>
      <c r="Q33" s="1"/>
    </row>
    <row r="34" spans="1:17" hidden="1" x14ac:dyDescent="0.25">
      <c r="A34">
        <v>3</v>
      </c>
      <c r="C34" t="s">
        <v>58</v>
      </c>
      <c r="D34" s="1">
        <f>IF(J5=9,0,IF($F$12&lt;$S$13,$S$13-$F$12,0))</f>
        <v>2</v>
      </c>
      <c r="E34" s="1">
        <f>IF(J5=9,0,IF($H$12&gt;0,IF($H$12&lt;$S$13,$S$13-$H$12,0),0))</f>
        <v>0</v>
      </c>
      <c r="F34" s="1">
        <f>IF(J5=9,0,IF($K$12&gt;0,IF($K$12&lt;$S$13,$S$13-$K$12,0),0))</f>
        <v>0</v>
      </c>
      <c r="G34" s="1">
        <f>IF(J5=9,0,IF($N$12&gt;0,IF($N$12&lt;$S$13,$S$13-$N$12,0),0))</f>
        <v>0</v>
      </c>
      <c r="H34">
        <v>0.95</v>
      </c>
      <c r="I34" t="s">
        <v>63</v>
      </c>
      <c r="J34" t="s">
        <v>78</v>
      </c>
      <c r="K34" t="s">
        <v>48</v>
      </c>
      <c r="L34" s="51">
        <f>K9</f>
        <v>0</v>
      </c>
      <c r="M34">
        <f>K10</f>
        <v>0</v>
      </c>
      <c r="N34">
        <f>K11</f>
        <v>0</v>
      </c>
      <c r="O34">
        <f>K14</f>
        <v>0</v>
      </c>
      <c r="P34" s="1"/>
      <c r="Q34" s="1"/>
    </row>
    <row r="35" spans="1:17" hidden="1" x14ac:dyDescent="0.25">
      <c r="A35">
        <v>4</v>
      </c>
      <c r="C35" t="s">
        <v>60</v>
      </c>
      <c r="D35" s="1">
        <f>IF(J5=9,0,IF($F$12&lt;$S$13,$S$13-$F$12,0))</f>
        <v>2</v>
      </c>
      <c r="E35" s="1">
        <f>IF(J5=9,0,IF($H$12&gt;0,IF($H$12&lt;$S$13,$S$13-$H$12,0),0))</f>
        <v>0</v>
      </c>
      <c r="F35" s="1">
        <f>IF(J5=9,0,IF($K$12&gt;0,IF($K$12&lt;$S$13,$S$13-$K$12,0),0))</f>
        <v>0</v>
      </c>
      <c r="G35" s="1">
        <f>IF(J5=9,0,IF($N$12&gt;0,IF($N$12&lt;$S$13,$S$13-$N$12,0),0))</f>
        <v>0</v>
      </c>
      <c r="H35">
        <v>1</v>
      </c>
      <c r="I35" t="s">
        <v>64</v>
      </c>
      <c r="J35" t="s">
        <v>78</v>
      </c>
      <c r="K35" t="s">
        <v>49</v>
      </c>
      <c r="L35" s="51">
        <f>N9</f>
        <v>0</v>
      </c>
      <c r="M35">
        <f>N10</f>
        <v>0</v>
      </c>
      <c r="N35">
        <f>N11</f>
        <v>0</v>
      </c>
      <c r="O35">
        <f>N14</f>
        <v>0</v>
      </c>
      <c r="P35" s="1"/>
      <c r="Q35" s="1"/>
    </row>
    <row r="36" spans="1:17" hidden="1" x14ac:dyDescent="0.25">
      <c r="A36">
        <v>5</v>
      </c>
      <c r="C36" t="s">
        <v>75</v>
      </c>
      <c r="D36" s="1">
        <f>IF($F$9&gt;$Q$13,$F$9-$Q$13,0)</f>
        <v>0</v>
      </c>
      <c r="E36" s="1">
        <f>IF($H$9&gt;$Q$13,$H$9-$Q$13,0)</f>
        <v>1.2000000000000028</v>
      </c>
      <c r="F36" s="37">
        <f>IF($K$9&gt;$Q$13,$K$9-$Q$13,0)</f>
        <v>0</v>
      </c>
      <c r="G36" s="37">
        <f>IF($N$9&gt;$Q$13,$N$9-$Q$13,0)</f>
        <v>0</v>
      </c>
      <c r="H36">
        <v>0.95</v>
      </c>
      <c r="I36" t="s">
        <v>63</v>
      </c>
      <c r="J36" t="s">
        <v>79</v>
      </c>
      <c r="L36" s="51"/>
      <c r="N36"/>
      <c r="O36"/>
      <c r="P36" s="1"/>
      <c r="Q36" s="1"/>
    </row>
    <row r="37" spans="1:17" hidden="1" x14ac:dyDescent="0.25">
      <c r="A37">
        <v>6</v>
      </c>
      <c r="C37" t="s">
        <v>76</v>
      </c>
      <c r="D37" s="1">
        <f>IF($F$9&gt;$Q$13,$F$9-$Q$13,0)</f>
        <v>0</v>
      </c>
      <c r="E37" s="1">
        <f>IF($H$9&gt;$Q$13,$H$9-$Q$13,0)</f>
        <v>1.2000000000000028</v>
      </c>
      <c r="F37" s="37">
        <f>IF($K$9&gt;$Q$13,$K$9-$Q$13,0)</f>
        <v>0</v>
      </c>
      <c r="G37" s="37">
        <f>IF($N$9&gt;$Q$13,$N$9-$Q$13,0)</f>
        <v>0</v>
      </c>
      <c r="H37">
        <v>1</v>
      </c>
      <c r="I37" t="s">
        <v>64</v>
      </c>
      <c r="J37" t="s">
        <v>79</v>
      </c>
      <c r="L37" s="51"/>
      <c r="N37"/>
      <c r="O37"/>
      <c r="P37" s="1"/>
      <c r="Q37" s="1"/>
    </row>
    <row r="38" spans="1:17" hidden="1" x14ac:dyDescent="0.25">
      <c r="D38" s="1">
        <f>VLOOKUP(G5,C32:D37,2,FALSE)</f>
        <v>0</v>
      </c>
      <c r="E38" s="1">
        <f>VLOOKUP(G5,C32:E37,3,FALSE)</f>
        <v>1.2000000000000028</v>
      </c>
      <c r="F38" s="1">
        <f>VLOOKUP(G5,C32:F37,4,FALSE)</f>
        <v>0</v>
      </c>
      <c r="G38" s="1">
        <f>VLOOKUP(G5,C32:G37,5,FALSE)</f>
        <v>0</v>
      </c>
      <c r="H38">
        <f>VLOOKUP(G5,C32:H37,6,FALSE)</f>
        <v>0.95</v>
      </c>
      <c r="I38" t="str">
        <f>VLOOKUP(G5,C32:I37,7,FALSE)</f>
        <v>N</v>
      </c>
      <c r="J38" t="str">
        <f>VLOOKUP(G5,C32:J37,8,FALSE)</f>
        <v>M</v>
      </c>
      <c r="L38" s="36" t="s">
        <v>51</v>
      </c>
      <c r="M38" s="36" t="s">
        <v>33</v>
      </c>
      <c r="N38" s="36" t="s">
        <v>35</v>
      </c>
      <c r="O38"/>
      <c r="P38" s="1"/>
      <c r="Q38" s="1"/>
    </row>
    <row r="39" spans="1:17" hidden="1" x14ac:dyDescent="0.25">
      <c r="K39" t="s">
        <v>45</v>
      </c>
      <c r="L39">
        <f>VLOOKUP(F21,K32:N35,4,FALSE)</f>
        <v>127</v>
      </c>
      <c r="M39">
        <f>VLOOKUP(F21,K32:N35,2,FALSE)</f>
        <v>71.2</v>
      </c>
      <c r="N39">
        <f>VLOOKUP(F21,K32:N35,3,FALSE)</f>
        <v>71</v>
      </c>
      <c r="O39">
        <f>VLOOKUP(F21,K32:O35,5,FALSE)</f>
        <v>0</v>
      </c>
      <c r="P39" s="1">
        <f>IF(F23&lt;=H23,0.6,0.4)</f>
        <v>0.6</v>
      </c>
      <c r="Q39" s="1"/>
    </row>
    <row r="40" spans="1:17" hidden="1" x14ac:dyDescent="0.25">
      <c r="C40" t="s">
        <v>26</v>
      </c>
      <c r="K40" t="s">
        <v>42</v>
      </c>
      <c r="L40">
        <f>VLOOKUP(H21,K32:N35,4,FALSE)</f>
        <v>128</v>
      </c>
      <c r="M40">
        <f>VLOOKUP(H21,K32:N35,2,FALSE)</f>
        <v>72.400000000000006</v>
      </c>
      <c r="N40">
        <f>VLOOKUP(H21,K32:N35,3,FALSE)</f>
        <v>74</v>
      </c>
      <c r="O40">
        <f>VLOOKUP(H21,K32:O35,5,FALSE)</f>
        <v>1.2000000000000028</v>
      </c>
      <c r="P40" s="1">
        <f>IF(H23&lt;F23,0.6,0.4)</f>
        <v>0.4</v>
      </c>
      <c r="Q40" s="1"/>
    </row>
    <row r="41" spans="1:17" hidden="1" x14ac:dyDescent="0.25">
      <c r="C41" t="s">
        <v>27</v>
      </c>
      <c r="K41" t="s">
        <v>43</v>
      </c>
      <c r="L41">
        <f>VLOOKUP(K21,K32:N35,4,FALSE)</f>
        <v>127</v>
      </c>
      <c r="M41">
        <f>VLOOKUP(K21,K32:N35,2,FALSE)</f>
        <v>71.2</v>
      </c>
      <c r="N41">
        <f>VLOOKUP(K21,K32:N35,3,FALSE)</f>
        <v>71</v>
      </c>
      <c r="O41">
        <f>VLOOKUP(K21,K32:O35,5,FALSE)</f>
        <v>0</v>
      </c>
      <c r="P41" s="1">
        <f>IF(K23&lt;=N23,0.6,0.4)</f>
        <v>0.6</v>
      </c>
      <c r="Q41" s="1"/>
    </row>
    <row r="42" spans="1:17" hidden="1" x14ac:dyDescent="0.25">
      <c r="C42" t="s">
        <v>28</v>
      </c>
      <c r="K42" t="s">
        <v>44</v>
      </c>
      <c r="L42">
        <f>VLOOKUP(N21,K32:N35,4,FALSE)</f>
        <v>128</v>
      </c>
      <c r="M42">
        <f>VLOOKUP(N21,K32:N35,2,FALSE)</f>
        <v>72.400000000000006</v>
      </c>
      <c r="N42">
        <f>VLOOKUP(N21,K32:N35,3,FALSE)</f>
        <v>74</v>
      </c>
      <c r="O42">
        <f>VLOOKUP(N21,K32:O35,5,FALSE)</f>
        <v>1.2000000000000028</v>
      </c>
      <c r="P42" s="1">
        <f>IF(N23&lt;K23,0.6,0.4)</f>
        <v>0.4</v>
      </c>
      <c r="Q42" s="1"/>
    </row>
    <row r="43" spans="1:17" hidden="1" x14ac:dyDescent="0.25">
      <c r="C43" t="s">
        <v>29</v>
      </c>
      <c r="N43"/>
      <c r="O43"/>
      <c r="P43" s="1"/>
      <c r="Q43" s="1"/>
    </row>
    <row r="44" spans="1:17" hidden="1" x14ac:dyDescent="0.25">
      <c r="N44"/>
      <c r="P44" s="1"/>
    </row>
    <row r="45" spans="1:17" hidden="1" x14ac:dyDescent="0.25">
      <c r="C45" t="s">
        <v>46</v>
      </c>
      <c r="K45" t="s">
        <v>54</v>
      </c>
      <c r="N45"/>
      <c r="P45" s="1"/>
    </row>
    <row r="46" spans="1:17" hidden="1" x14ac:dyDescent="0.25">
      <c r="C46" t="s">
        <v>47</v>
      </c>
      <c r="N46"/>
      <c r="P46" s="1"/>
    </row>
    <row r="47" spans="1:17" hidden="1" x14ac:dyDescent="0.25">
      <c r="C47" t="s">
        <v>48</v>
      </c>
      <c r="F47" t="s">
        <v>73</v>
      </c>
      <c r="H47" t="s">
        <v>73</v>
      </c>
      <c r="L47" t="s">
        <v>73</v>
      </c>
      <c r="N47"/>
      <c r="O47" t="s">
        <v>73</v>
      </c>
      <c r="P47" s="1"/>
    </row>
    <row r="48" spans="1:17" hidden="1" x14ac:dyDescent="0.25">
      <c r="N48"/>
      <c r="O48"/>
      <c r="P48" s="1"/>
    </row>
    <row r="49" spans="3:16" ht="12.4" hidden="1" customHeight="1" x14ac:dyDescent="0.25">
      <c r="C49">
        <v>18</v>
      </c>
      <c r="F49" s="51">
        <f>IF(J5=18,F63,F64)</f>
        <v>11.238938053097344</v>
      </c>
      <c r="H49" s="51">
        <f>IF(J5=18,H63,H64)</f>
        <v>22.654867256637168</v>
      </c>
      <c r="L49" s="51">
        <f>IF(J5=18,L63,L64)</f>
        <v>33.716814159292035</v>
      </c>
      <c r="N49" s="51"/>
      <c r="O49" s="51">
        <f>IF(J5=18,O63,O64)</f>
        <v>45.309734513274336</v>
      </c>
      <c r="P49" s="1"/>
    </row>
    <row r="50" spans="3:16" hidden="1" x14ac:dyDescent="0.25">
      <c r="C50">
        <v>9</v>
      </c>
      <c r="F50" s="78">
        <f>IF(F49&lt;0,F49*-1,F49)</f>
        <v>11.238938053097344</v>
      </c>
      <c r="H50" s="78">
        <f>IF(H49&lt;0,H49*-1,H49)</f>
        <v>22.654867256637168</v>
      </c>
      <c r="L50" s="78">
        <f>IF(L49&lt;0,L49*-1,L49)</f>
        <v>33.716814159292035</v>
      </c>
      <c r="N50" s="78"/>
      <c r="O50" s="78">
        <f>IF(O49&lt;0,O49*-1,O49)</f>
        <v>45.309734513274336</v>
      </c>
      <c r="P50" s="1"/>
    </row>
    <row r="51" spans="3:16" hidden="1" x14ac:dyDescent="0.25">
      <c r="F51" s="78">
        <f>IF(F50-INT(F50)=0.5,IF(F49&lt;0,F49+0.001,F49),F49)</f>
        <v>11.238938053097344</v>
      </c>
      <c r="H51" s="78">
        <f>IF(H50-INT(H50)=0.5,IF(H49&lt;0,H49+0.001,H49),H49)</f>
        <v>22.654867256637168</v>
      </c>
      <c r="L51" s="78">
        <f>IF(L50-INT(L50)=0.5,IF(L49&lt;0,L49+0.001,L49),L49)</f>
        <v>33.716814159292035</v>
      </c>
      <c r="N51" s="78"/>
      <c r="O51" s="78">
        <f>IF(O50-INT(O50)=0.5,IF(O49&lt;0,O49+0.001,O49),O49)</f>
        <v>45.309734513274336</v>
      </c>
      <c r="P51" s="1"/>
    </row>
    <row r="52" spans="3:16" hidden="1" x14ac:dyDescent="0.25">
      <c r="F52">
        <f>ROUND(F51,0)</f>
        <v>11</v>
      </c>
      <c r="H52">
        <f>ROUND(H51,0)</f>
        <v>23</v>
      </c>
      <c r="L52">
        <f>ROUND(L51,0)</f>
        <v>34</v>
      </c>
      <c r="N52"/>
      <c r="O52">
        <f>ROUND(O51,0)</f>
        <v>45</v>
      </c>
      <c r="P52" s="1"/>
    </row>
    <row r="53" spans="3:16" hidden="1" x14ac:dyDescent="0.25">
      <c r="F53" s="78">
        <f>IF($G$3=$C$43,F49,F52)</f>
        <v>11</v>
      </c>
      <c r="H53" s="78">
        <f>IF($G$3=$C$43,H49,H52)</f>
        <v>23</v>
      </c>
      <c r="L53" s="78">
        <f>IF($G$3=$C$43,L49,L52)</f>
        <v>34</v>
      </c>
      <c r="N53" s="78"/>
      <c r="O53" s="78">
        <f>IF($G$3=$C$43,O49,O52)</f>
        <v>45</v>
      </c>
      <c r="P53" s="1"/>
    </row>
    <row r="54" spans="3:16" hidden="1" x14ac:dyDescent="0.25">
      <c r="N54"/>
      <c r="P54" s="1"/>
    </row>
    <row r="55" spans="3:16" hidden="1" x14ac:dyDescent="0.25">
      <c r="G55" t="s">
        <v>19</v>
      </c>
      <c r="M55" t="s">
        <v>19</v>
      </c>
      <c r="N55"/>
      <c r="P55" s="1"/>
    </row>
    <row r="56" spans="3:16" hidden="1" x14ac:dyDescent="0.25">
      <c r="N56"/>
      <c r="P56" s="1"/>
    </row>
    <row r="57" spans="3:16" hidden="1" x14ac:dyDescent="0.25">
      <c r="G57" s="78">
        <f>G24+G25</f>
        <v>17.600000000000001</v>
      </c>
      <c r="M57" s="78">
        <f>L24+L25</f>
        <v>40.1</v>
      </c>
      <c r="N57"/>
      <c r="P57" s="1"/>
    </row>
    <row r="58" spans="3:16" hidden="1" x14ac:dyDescent="0.25">
      <c r="G58" s="78">
        <f>IF(G57&lt;0,ROUND(G57*-1,3),ROUND(G57,3))</f>
        <v>17.600000000000001</v>
      </c>
      <c r="M58" s="78">
        <f>IF(M57&lt;0,ROUND(M57*-1,3),ROUND(M57,3))</f>
        <v>40.1</v>
      </c>
      <c r="N58"/>
      <c r="P58" s="1"/>
    </row>
    <row r="59" spans="3:16" hidden="1" x14ac:dyDescent="0.25">
      <c r="G59" s="78">
        <f>IF(G58-INT(G58)=0.5,IF(G57&lt;0,G57+0.001,G57),G57)</f>
        <v>17.600000000000001</v>
      </c>
      <c r="M59" s="78">
        <f>IF(M58-INT(M58)=0.5,IF(M57&lt;0,M57+0.001,M57),M57)</f>
        <v>40.1</v>
      </c>
      <c r="N59"/>
      <c r="P59" s="1"/>
    </row>
    <row r="60" spans="3:16" hidden="1" x14ac:dyDescent="0.25">
      <c r="G60">
        <f>IF(J38="M",ROUND(G59,0),ROUND(G59,0))</f>
        <v>18</v>
      </c>
      <c r="M60">
        <f>IF(J38="M",ROUND(M59,0),ROUND(M59,0))</f>
        <v>40</v>
      </c>
      <c r="N60"/>
      <c r="P60" s="1"/>
    </row>
    <row r="61" spans="3:16" hidden="1" x14ac:dyDescent="0.25">
      <c r="F61" t="s">
        <v>45</v>
      </c>
      <c r="H61" t="s">
        <v>42</v>
      </c>
      <c r="L61" t="s">
        <v>43</v>
      </c>
      <c r="O61" s="1" t="s">
        <v>44</v>
      </c>
    </row>
    <row r="62" spans="3:16" hidden="1" x14ac:dyDescent="0.25">
      <c r="C62" t="s">
        <v>108</v>
      </c>
    </row>
    <row r="63" spans="3:16" hidden="1" x14ac:dyDescent="0.25">
      <c r="C63" t="s">
        <v>109</v>
      </c>
      <c r="E63" t="s">
        <v>113</v>
      </c>
      <c r="F63">
        <f>F19*L39/113</f>
        <v>11.238938053097344</v>
      </c>
      <c r="H63">
        <f>H19*L40/113</f>
        <v>22.654867256637168</v>
      </c>
      <c r="L63">
        <f>K19*L41/113</f>
        <v>33.716814159292035</v>
      </c>
      <c r="O63" s="1">
        <f>N19*L42/113</f>
        <v>45.309734513274336</v>
      </c>
    </row>
    <row r="64" spans="3:16" hidden="1" x14ac:dyDescent="0.25">
      <c r="C64" t="s">
        <v>110</v>
      </c>
      <c r="E64" t="s">
        <v>114</v>
      </c>
      <c r="F64">
        <f>((F19*0.5)*L39/113)+(M39-N39)</f>
        <v>5.819469026548675</v>
      </c>
      <c r="H64">
        <f>((H19*0.5)*L40/113)+(M40-N40)</f>
        <v>9.7274336283185896</v>
      </c>
      <c r="L64">
        <f>((K19*0.5)*L41/113)+(M41-N41)</f>
        <v>17.05840707964602</v>
      </c>
      <c r="O64" s="1">
        <f>((N19*0.5)*L42/113)+(M42-N42)</f>
        <v>21.054867256637174</v>
      </c>
    </row>
    <row r="65" spans="3:3" hidden="1" x14ac:dyDescent="0.25">
      <c r="C65" t="s">
        <v>111</v>
      </c>
    </row>
    <row r="66" spans="3:3" hidden="1" x14ac:dyDescent="0.25">
      <c r="C66" t="s">
        <v>112</v>
      </c>
    </row>
    <row r="67" spans="3:3" hidden="1" x14ac:dyDescent="0.25"/>
    <row r="68" spans="3:3" hidden="1" x14ac:dyDescent="0.25"/>
  </sheetData>
  <sheetProtection algorithmName="SHA-512" hashValue="PHi+zM16bETb7iKxbLxkcSMowiBCYvJr5z9OKrBW/25QK3ptI8o13vk6O+f6WLFRtJr8Ql7Y8+HtFiYuPdsm3A==" saltValue="SzG6OtA7BCw1ukk0cKd82w==" spinCount="100000" sheet="1" selectLockedCells="1"/>
  <mergeCells count="10">
    <mergeCell ref="C2:D2"/>
    <mergeCell ref="C3:D3"/>
    <mergeCell ref="G3:H3"/>
    <mergeCell ref="G5:H5"/>
    <mergeCell ref="C5:D5"/>
    <mergeCell ref="L25:M25"/>
    <mergeCell ref="L24:M24"/>
    <mergeCell ref="L27:M27"/>
    <mergeCell ref="L22:M22"/>
    <mergeCell ref="C30:O30"/>
  </mergeCells>
  <conditionalFormatting sqref="F24">
    <cfRule type="expression" dxfId="29" priority="12">
      <formula>$G$5="Foursomes Matchplay"</formula>
    </cfRule>
    <cfRule type="expression" dxfId="28" priority="24">
      <formula>$G$5="Foursomes Stableford"</formula>
    </cfRule>
    <cfRule type="expression" dxfId="27" priority="26">
      <formula>$G$5="Foursomes Medal"</formula>
    </cfRule>
  </conditionalFormatting>
  <conditionalFormatting sqref="F23">
    <cfRule type="expression" dxfId="26" priority="17">
      <formula>$G$3=$C$43</formula>
    </cfRule>
  </conditionalFormatting>
  <conditionalFormatting sqref="H23">
    <cfRule type="expression" dxfId="25" priority="16">
      <formula>$G$3=$C$43</formula>
    </cfRule>
  </conditionalFormatting>
  <conditionalFormatting sqref="K23">
    <cfRule type="expression" dxfId="24" priority="15">
      <formula>$G$3=$C$43</formula>
    </cfRule>
  </conditionalFormatting>
  <conditionalFormatting sqref="N23">
    <cfRule type="expression" dxfId="23" priority="14">
      <formula>$G$3=$C$43</formula>
    </cfRule>
  </conditionalFormatting>
  <conditionalFormatting sqref="H24">
    <cfRule type="expression" dxfId="22" priority="9">
      <formula>$G$5="Foursomes Matchplay"</formula>
    </cfRule>
    <cfRule type="expression" dxfId="21" priority="10">
      <formula>$G$5="Foursomes Stableford"</formula>
    </cfRule>
    <cfRule type="expression" dxfId="20" priority="11">
      <formula>$G$5="Foursomes Medal"</formula>
    </cfRule>
  </conditionalFormatting>
  <conditionalFormatting sqref="K24">
    <cfRule type="expression" dxfId="19" priority="6">
      <formula>$G$5="Foursomes Matchplay"</formula>
    </cfRule>
    <cfRule type="expression" dxfId="18" priority="7">
      <formula>$G$5="Foursomes Stableford"</formula>
    </cfRule>
    <cfRule type="expression" dxfId="17" priority="8">
      <formula>$G$5="Foursomes Medal"</formula>
    </cfRule>
  </conditionalFormatting>
  <conditionalFormatting sqref="N24">
    <cfRule type="expression" dxfId="16" priority="3">
      <formula>$G$5="Foursomes Matchplay"</formula>
    </cfRule>
    <cfRule type="expression" dxfId="15" priority="4">
      <formula>$G$5="Foursomes Stableford"</formula>
    </cfRule>
    <cfRule type="expression" dxfId="14" priority="5">
      <formula>$G$5="Foursomes Medal"</formula>
    </cfRule>
  </conditionalFormatting>
  <conditionalFormatting sqref="G27">
    <cfRule type="expression" dxfId="13" priority="2">
      <formula>$J$38="M"</formula>
    </cfRule>
  </conditionalFormatting>
  <conditionalFormatting sqref="L27">
    <cfRule type="expression" dxfId="12" priority="1">
      <formula>$J$38="M"</formula>
    </cfRule>
  </conditionalFormatting>
  <dataValidations count="4">
    <dataValidation type="list" allowBlank="1" showInputMessage="1" showErrorMessage="1" sqref="G3" xr:uid="{D276F810-E57A-40B7-8C7C-10642131CC4A}">
      <formula1>$C$40:$C$43</formula1>
    </dataValidation>
    <dataValidation type="list" allowBlank="1" showInputMessage="1" showErrorMessage="1" sqref="N21 F21 H21 K21" xr:uid="{5DB98E82-D8E2-4FB7-BA6C-40800C1D76E4}">
      <formula1>$C$45:$C$47</formula1>
    </dataValidation>
    <dataValidation type="list" allowBlank="1" showInputMessage="1" showErrorMessage="1" sqref="G5:H5" xr:uid="{0A94E02B-E7CE-4402-AB8E-253876109B80}">
      <formula1>$C$32:$C$37</formula1>
    </dataValidation>
    <dataValidation type="list" allowBlank="1" showInputMessage="1" showErrorMessage="1" sqref="J5" xr:uid="{558AE7B9-0774-463A-9D9C-72E2FA754809}">
      <formula1>$C$49:$C$50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AFC7-D3DE-4F49-A3ED-E41B97B4FB09}">
  <dimension ref="A1:AD53"/>
  <sheetViews>
    <sheetView workbookViewId="0">
      <selection activeCell="N21" sqref="N21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29" width="9" hidden="1" customWidth="1"/>
    <col min="30" max="31" width="9" customWidth="1"/>
  </cols>
  <sheetData>
    <row r="1" spans="3:26" ht="15.75" thickBot="1" x14ac:dyDescent="0.3"/>
    <row r="2" spans="3:26" x14ac:dyDescent="0.25">
      <c r="C2" s="108" t="s">
        <v>22</v>
      </c>
      <c r="D2" s="109"/>
      <c r="E2" s="2"/>
      <c r="F2" s="2"/>
      <c r="G2" s="2"/>
      <c r="H2" s="2"/>
      <c r="I2" s="2"/>
      <c r="J2" s="2"/>
      <c r="K2" s="2"/>
      <c r="L2" s="2"/>
      <c r="M2" s="2"/>
      <c r="N2" s="58"/>
      <c r="O2" s="59"/>
    </row>
    <row r="3" spans="3:26" ht="22.35" customHeight="1" x14ac:dyDescent="0.25">
      <c r="C3" s="110" t="s">
        <v>23</v>
      </c>
      <c r="D3" s="111"/>
      <c r="E3" s="5"/>
      <c r="F3" s="30" t="s">
        <v>30</v>
      </c>
      <c r="G3" s="143" t="s">
        <v>26</v>
      </c>
      <c r="H3" s="143"/>
      <c r="I3" s="5"/>
      <c r="J3" s="5"/>
      <c r="K3" s="5"/>
      <c r="L3" s="5"/>
      <c r="M3" s="5"/>
      <c r="N3" s="8"/>
      <c r="O3" s="60"/>
    </row>
    <row r="4" spans="3:26" x14ac:dyDescent="0.25">
      <c r="C4" s="53"/>
      <c r="D4" s="54"/>
      <c r="E4" s="5"/>
      <c r="F4" s="5"/>
      <c r="G4" s="5"/>
      <c r="H4" s="5"/>
      <c r="I4" s="5"/>
      <c r="J4" s="5"/>
      <c r="K4" s="5"/>
      <c r="L4" s="5"/>
      <c r="M4" s="5"/>
      <c r="N4" s="8"/>
      <c r="O4" s="60"/>
    </row>
    <row r="5" spans="3:26" ht="22.35" customHeight="1" x14ac:dyDescent="0.35">
      <c r="C5" s="129" t="s">
        <v>39</v>
      </c>
      <c r="D5" s="130"/>
      <c r="E5" s="31" t="s">
        <v>21</v>
      </c>
      <c r="F5" s="32"/>
      <c r="G5" s="143" t="s">
        <v>65</v>
      </c>
      <c r="H5" s="143"/>
      <c r="I5" s="5"/>
      <c r="J5" s="48">
        <v>18</v>
      </c>
      <c r="K5" s="107" t="s">
        <v>107</v>
      </c>
      <c r="L5" s="5"/>
      <c r="M5" s="5"/>
      <c r="N5" s="8"/>
      <c r="O5" s="60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60"/>
    </row>
    <row r="7" spans="3:26" x14ac:dyDescent="0.25">
      <c r="C7" s="4"/>
      <c r="D7" s="5"/>
      <c r="E7" s="5"/>
      <c r="F7" s="54" t="s">
        <v>36</v>
      </c>
      <c r="G7" s="8"/>
      <c r="H7" s="54" t="s">
        <v>37</v>
      </c>
      <c r="I7" s="8"/>
      <c r="J7" s="8"/>
      <c r="K7" s="54" t="s">
        <v>38</v>
      </c>
      <c r="L7" s="5"/>
      <c r="M7" s="8"/>
      <c r="N7" s="54"/>
      <c r="O7" s="60"/>
      <c r="Q7" s="1" t="s">
        <v>33</v>
      </c>
      <c r="R7" s="1" t="s">
        <v>35</v>
      </c>
      <c r="S7" s="1" t="s">
        <v>16</v>
      </c>
      <c r="U7" s="92"/>
      <c r="V7" s="92" t="s">
        <v>46</v>
      </c>
      <c r="W7" s="92"/>
      <c r="X7" s="92" t="s">
        <v>47</v>
      </c>
      <c r="Z7" s="92" t="s">
        <v>48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0"/>
      <c r="Q8" s="1"/>
      <c r="R8" s="1"/>
      <c r="S8" s="1"/>
      <c r="U8" s="92"/>
      <c r="V8" s="92"/>
      <c r="W8" s="92"/>
      <c r="X8" s="92"/>
      <c r="Z8" s="92"/>
    </row>
    <row r="9" spans="3:26" ht="20.100000000000001" customHeight="1" x14ac:dyDescent="0.25">
      <c r="C9" s="4"/>
      <c r="D9" s="5"/>
      <c r="E9" s="7" t="s">
        <v>11</v>
      </c>
      <c r="F9" s="49">
        <v>71.2</v>
      </c>
      <c r="G9" s="7" t="s">
        <v>11</v>
      </c>
      <c r="H9" s="49">
        <v>72.400000000000006</v>
      </c>
      <c r="I9" s="5"/>
      <c r="J9" s="7" t="s">
        <v>11</v>
      </c>
      <c r="K9" s="49"/>
      <c r="L9" s="5"/>
      <c r="M9" s="7"/>
      <c r="N9" s="75"/>
      <c r="O9" s="60"/>
      <c r="Q9" s="1">
        <f>F9</f>
        <v>71.2</v>
      </c>
      <c r="R9" s="1">
        <f>F10</f>
        <v>71</v>
      </c>
      <c r="S9" s="1">
        <f>F12</f>
        <v>36</v>
      </c>
      <c r="U9" s="92" t="s">
        <v>16</v>
      </c>
      <c r="V9" s="106">
        <f>F9-F10</f>
        <v>0.20000000000000284</v>
      </c>
      <c r="W9" s="106"/>
      <c r="X9" s="106">
        <f>H9-H10</f>
        <v>-1.5999999999999943</v>
      </c>
      <c r="Z9" s="106">
        <f>K9-K10</f>
        <v>0</v>
      </c>
    </row>
    <row r="10" spans="3:26" ht="20.100000000000001" customHeight="1" x14ac:dyDescent="0.25">
      <c r="C10" s="4"/>
      <c r="D10" s="5"/>
      <c r="E10" s="7" t="s">
        <v>0</v>
      </c>
      <c r="F10" s="48">
        <v>71</v>
      </c>
      <c r="G10" s="7" t="s">
        <v>0</v>
      </c>
      <c r="H10" s="48">
        <v>74</v>
      </c>
      <c r="I10" s="5"/>
      <c r="J10" s="7" t="s">
        <v>0</v>
      </c>
      <c r="K10" s="48"/>
      <c r="L10" s="5"/>
      <c r="M10" s="7"/>
      <c r="N10" s="76"/>
      <c r="O10" s="60"/>
      <c r="Q10" s="1">
        <f>H9</f>
        <v>72.400000000000006</v>
      </c>
      <c r="R10" s="1">
        <f>H10</f>
        <v>74</v>
      </c>
      <c r="S10" s="1">
        <f>H12</f>
        <v>38</v>
      </c>
      <c r="U10" s="92" t="s">
        <v>101</v>
      </c>
      <c r="V10" s="106">
        <f>TRUNC(V9)</f>
        <v>0</v>
      </c>
      <c r="W10" s="92"/>
      <c r="X10" s="106">
        <f>TRUNC(X9)</f>
        <v>-1</v>
      </c>
      <c r="Z10" s="106">
        <f>TRUNC(Z9)</f>
        <v>0</v>
      </c>
    </row>
    <row r="11" spans="3:26" ht="20.100000000000001" customHeight="1" x14ac:dyDescent="0.25">
      <c r="C11" s="4"/>
      <c r="D11" s="5"/>
      <c r="E11" s="7" t="s">
        <v>12</v>
      </c>
      <c r="F11" s="48">
        <v>127</v>
      </c>
      <c r="G11" s="7" t="s">
        <v>12</v>
      </c>
      <c r="H11" s="48">
        <v>128</v>
      </c>
      <c r="I11" s="5"/>
      <c r="J11" s="7" t="s">
        <v>12</v>
      </c>
      <c r="K11" s="48"/>
      <c r="L11" s="5"/>
      <c r="M11" s="7"/>
      <c r="N11" s="76"/>
      <c r="O11" s="60"/>
      <c r="Q11" s="1">
        <f>K9</f>
        <v>0</v>
      </c>
      <c r="R11" s="1">
        <f>K10</f>
        <v>0</v>
      </c>
      <c r="S11" s="1">
        <f>K12</f>
        <v>0</v>
      </c>
      <c r="U11" s="92" t="s">
        <v>102</v>
      </c>
      <c r="V11" s="106">
        <f>V9-V10</f>
        <v>0.20000000000000284</v>
      </c>
      <c r="W11" s="92"/>
      <c r="X11" s="106">
        <f>X9-X10</f>
        <v>-0.59999999999999432</v>
      </c>
      <c r="Z11" s="106">
        <f>Z9-Z10</f>
        <v>0</v>
      </c>
    </row>
    <row r="12" spans="3:26" x14ac:dyDescent="0.25">
      <c r="C12" s="4"/>
      <c r="D12" s="5"/>
      <c r="E12" s="10" t="s">
        <v>16</v>
      </c>
      <c r="F12" s="35">
        <f>IF(F9&gt;0,36-V12,0)</f>
        <v>36</v>
      </c>
      <c r="G12" s="10" t="s">
        <v>16</v>
      </c>
      <c r="H12" s="35">
        <f>IF(H9&gt;0,36-X12,0)</f>
        <v>38</v>
      </c>
      <c r="I12" s="61"/>
      <c r="J12" s="10" t="s">
        <v>16</v>
      </c>
      <c r="K12" s="35">
        <f>IF(K9&gt;0,36-Z12,0)</f>
        <v>0</v>
      </c>
      <c r="L12" s="61"/>
      <c r="M12" s="10"/>
      <c r="N12" s="35"/>
      <c r="O12" s="60"/>
      <c r="Q12" s="37">
        <f>N9</f>
        <v>0</v>
      </c>
      <c r="R12" s="1">
        <f>N10</f>
        <v>0</v>
      </c>
      <c r="S12" s="1">
        <f>N12</f>
        <v>0</v>
      </c>
      <c r="U12" s="92" t="s">
        <v>103</v>
      </c>
      <c r="V12" s="92">
        <f>IF(V9&lt;0,IF(V11&lt;-0.5,V10-1,V10),ROUND(V9,0))</f>
        <v>0</v>
      </c>
      <c r="W12" s="92"/>
      <c r="X12" s="92">
        <f>IF(X9&lt;0,IF(X11&lt;-0.5,X10-1,X10),ROUND(X9,0))</f>
        <v>-2</v>
      </c>
      <c r="Z12" s="92">
        <f>IF(Z9&lt;0,IF(Z11&lt;-0.5,Z10-1,Z10),ROUND(Z9,0))</f>
        <v>0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0"/>
      <c r="P13" s="36" t="s">
        <v>34</v>
      </c>
      <c r="Q13" s="1">
        <f>SMALL(Q9:Q12,COUNTIF($Q$9:$Q$12,0)+1)</f>
        <v>71.2</v>
      </c>
      <c r="R13" s="1">
        <f>SMALL(R9:R12,COUNTIF($R$9:$R$12,0)+1)</f>
        <v>71</v>
      </c>
      <c r="S13" s="1">
        <f>MAX(S9:S12)</f>
        <v>38</v>
      </c>
    </row>
    <row r="14" spans="3:26" ht="15.75" x14ac:dyDescent="0.25">
      <c r="C14" s="4"/>
      <c r="D14" s="5"/>
      <c r="E14" s="27" t="s">
        <v>13</v>
      </c>
      <c r="F14" s="62">
        <f>D36</f>
        <v>0</v>
      </c>
      <c r="G14" s="26"/>
      <c r="H14" s="62">
        <f>E36</f>
        <v>1.2000000000000028</v>
      </c>
      <c r="I14" s="5"/>
      <c r="J14" s="5"/>
      <c r="K14" s="62">
        <f>F36</f>
        <v>0</v>
      </c>
      <c r="L14" s="5"/>
      <c r="M14" s="5"/>
      <c r="N14" s="69"/>
      <c r="O14" s="60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60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60"/>
      <c r="X16">
        <v>0.42499999999999999</v>
      </c>
    </row>
    <row r="17" spans="1:30" x14ac:dyDescent="0.25">
      <c r="C17" s="4"/>
      <c r="D17" s="5"/>
      <c r="E17" s="5"/>
      <c r="F17" s="54" t="s">
        <v>45</v>
      </c>
      <c r="G17" s="54"/>
      <c r="H17" s="54" t="s">
        <v>42</v>
      </c>
      <c r="I17" s="54"/>
      <c r="J17" s="54"/>
      <c r="K17" s="54" t="s">
        <v>43</v>
      </c>
      <c r="L17" s="54"/>
      <c r="M17" s="54"/>
      <c r="N17" s="54" t="s">
        <v>44</v>
      </c>
      <c r="O17" s="60"/>
      <c r="X17">
        <f>ROUND(X16,2)</f>
        <v>0.43</v>
      </c>
    </row>
    <row r="18" spans="1:30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32</v>
      </c>
      <c r="O18" s="60"/>
    </row>
    <row r="19" spans="1:30" x14ac:dyDescent="0.25">
      <c r="C19" s="4"/>
      <c r="D19" s="45"/>
      <c r="E19" s="7" t="s">
        <v>3</v>
      </c>
      <c r="F19" s="50">
        <v>10</v>
      </c>
      <c r="G19" s="5"/>
      <c r="H19" s="50">
        <v>20</v>
      </c>
      <c r="I19" s="5"/>
      <c r="J19" s="5"/>
      <c r="K19" s="50">
        <v>30</v>
      </c>
      <c r="L19" s="5"/>
      <c r="M19" s="5"/>
      <c r="N19" s="50">
        <v>40</v>
      </c>
      <c r="O19" s="60"/>
    </row>
    <row r="20" spans="1:30" ht="3.4" customHeight="1" x14ac:dyDescent="0.25">
      <c r="C20" s="9"/>
      <c r="D20" s="45"/>
      <c r="E20" s="5"/>
      <c r="F20" s="45"/>
      <c r="G20" s="5"/>
      <c r="H20" s="45"/>
      <c r="I20" s="5"/>
      <c r="J20" s="5"/>
      <c r="K20" s="45"/>
      <c r="L20" s="5"/>
      <c r="M20" s="5"/>
      <c r="N20" s="8"/>
      <c r="O20" s="60"/>
    </row>
    <row r="21" spans="1:30" ht="18" customHeight="1" x14ac:dyDescent="0.25">
      <c r="C21" s="9"/>
      <c r="D21" s="45"/>
      <c r="E21" s="5" t="s">
        <v>50</v>
      </c>
      <c r="F21" s="50" t="s">
        <v>46</v>
      </c>
      <c r="G21" s="5"/>
      <c r="H21" s="50" t="s">
        <v>47</v>
      </c>
      <c r="I21" s="5"/>
      <c r="J21" s="5"/>
      <c r="K21" s="50" t="s">
        <v>47</v>
      </c>
      <c r="L21" s="5"/>
      <c r="M21" s="5"/>
      <c r="N21" s="50" t="s">
        <v>47</v>
      </c>
      <c r="O21" s="60"/>
      <c r="R21" t="s">
        <v>69</v>
      </c>
      <c r="S21" t="s">
        <v>70</v>
      </c>
      <c r="T21" t="s">
        <v>99</v>
      </c>
    </row>
    <row r="22" spans="1:30" ht="15.4" customHeight="1" x14ac:dyDescent="0.25">
      <c r="C22" s="9"/>
      <c r="D22" s="45"/>
      <c r="E22" s="5"/>
      <c r="F22" s="45"/>
      <c r="G22" s="54"/>
      <c r="H22" s="45"/>
      <c r="I22" s="5"/>
      <c r="J22" s="5"/>
      <c r="K22" s="45"/>
      <c r="L22" s="18"/>
      <c r="M22" s="18"/>
      <c r="N22" s="8"/>
      <c r="O22" s="60"/>
      <c r="Q22" t="s">
        <v>45</v>
      </c>
      <c r="R22">
        <f>F23</f>
        <v>11</v>
      </c>
      <c r="S22">
        <f>F23</f>
        <v>11</v>
      </c>
      <c r="T22" s="102">
        <f>F23</f>
        <v>11</v>
      </c>
    </row>
    <row r="23" spans="1:30" x14ac:dyDescent="0.25">
      <c r="C23" s="4"/>
      <c r="D23" s="42"/>
      <c r="E23" s="7" t="s">
        <v>18</v>
      </c>
      <c r="F23" s="81">
        <f>IF(G3="Scotland",E47,F47)</f>
        <v>11</v>
      </c>
      <c r="G23" s="47"/>
      <c r="H23" s="81">
        <f>IF(G3="Scotland",E48,F48)</f>
        <v>23</v>
      </c>
      <c r="I23" s="47"/>
      <c r="J23" s="47"/>
      <c r="K23" s="81">
        <f>IF(G3="Scotland",E49,F49)</f>
        <v>34</v>
      </c>
      <c r="L23" s="5"/>
      <c r="M23" s="5"/>
      <c r="N23" s="81">
        <f>IF(G3="Scotland",E50,F50)</f>
        <v>45</v>
      </c>
      <c r="O23" s="60"/>
      <c r="Q23" t="s">
        <v>42</v>
      </c>
      <c r="R23">
        <f>H23</f>
        <v>23</v>
      </c>
      <c r="S23">
        <f>H23</f>
        <v>23</v>
      </c>
      <c r="T23" s="102">
        <f>H23</f>
        <v>23</v>
      </c>
    </row>
    <row r="24" spans="1:30" x14ac:dyDescent="0.25">
      <c r="C24" s="4"/>
      <c r="D24" s="67"/>
      <c r="E24" s="7" t="s">
        <v>4</v>
      </c>
      <c r="F24" s="91">
        <f>F23*O37</f>
        <v>2.75</v>
      </c>
      <c r="G24" s="89">
        <f>O37</f>
        <v>0.25</v>
      </c>
      <c r="H24" s="91">
        <f>H23*O38</f>
        <v>4.6000000000000005</v>
      </c>
      <c r="I24" s="89">
        <f>O38</f>
        <v>0.2</v>
      </c>
      <c r="J24" s="74"/>
      <c r="K24" s="91">
        <f>K23*O39</f>
        <v>5.0999999999999996</v>
      </c>
      <c r="L24" s="89">
        <f>O39</f>
        <v>0.15</v>
      </c>
      <c r="M24" s="42"/>
      <c r="N24" s="91">
        <f>N23*O40</f>
        <v>4.5</v>
      </c>
      <c r="O24" s="90">
        <f>O40</f>
        <v>0.1</v>
      </c>
      <c r="Q24" t="s">
        <v>43</v>
      </c>
      <c r="R24">
        <f>K23</f>
        <v>34</v>
      </c>
      <c r="S24">
        <f>K23</f>
        <v>34</v>
      </c>
    </row>
    <row r="25" spans="1:30" x14ac:dyDescent="0.25">
      <c r="C25" s="4"/>
      <c r="D25" s="42"/>
      <c r="E25" s="7" t="s">
        <v>13</v>
      </c>
      <c r="F25" s="91">
        <f>IF($G$5=$C$34,N37/2,IF($G$5=$C$33,N37/3,N37/4))</f>
        <v>0</v>
      </c>
      <c r="G25" s="43"/>
      <c r="H25" s="91">
        <f>IF($G$5=$C$34,N38/2,IF($G$5=$C$33,N38/3,N38/4))</f>
        <v>0.30000000000000071</v>
      </c>
      <c r="I25" s="42"/>
      <c r="J25" s="42"/>
      <c r="K25" s="91">
        <f>IF($G$5=$C$33,N39/3,N39/4)</f>
        <v>0.30000000000000071</v>
      </c>
      <c r="L25" s="42"/>
      <c r="M25" s="42"/>
      <c r="N25" s="91">
        <f>N40/4</f>
        <v>0.30000000000000071</v>
      </c>
      <c r="O25" s="60"/>
      <c r="Q25" t="s">
        <v>44</v>
      </c>
      <c r="R25">
        <f>N23</f>
        <v>45</v>
      </c>
    </row>
    <row r="26" spans="1:30" x14ac:dyDescent="0.25">
      <c r="C26" s="9"/>
      <c r="D26" s="5"/>
      <c r="E26" s="5"/>
      <c r="F26" s="104">
        <f>F24+F25</f>
        <v>2.75</v>
      </c>
      <c r="G26" s="35"/>
      <c r="H26" s="105">
        <f>H24+H25</f>
        <v>4.9000000000000012</v>
      </c>
      <c r="I26" s="61"/>
      <c r="J26" s="61"/>
      <c r="K26" s="105">
        <f>IF(G5=C34,0,K24+K25)</f>
        <v>5.4</v>
      </c>
      <c r="L26" s="61"/>
      <c r="M26" s="61"/>
      <c r="N26" s="105">
        <f>IF(G5=C33,0,IF(G5=C34,0,N24+N25))</f>
        <v>4.8000000000000007</v>
      </c>
      <c r="O26" s="83"/>
      <c r="R26" s="147" t="s">
        <v>71</v>
      </c>
      <c r="S26" s="147"/>
      <c r="V26" s="144" t="s">
        <v>72</v>
      </c>
      <c r="W26" s="144"/>
      <c r="Z26" s="144" t="s">
        <v>99</v>
      </c>
      <c r="AA26" s="144"/>
    </row>
    <row r="27" spans="1:30" ht="15.75" x14ac:dyDescent="0.25">
      <c r="C27" s="4"/>
      <c r="D27" s="25"/>
      <c r="E27" s="25"/>
      <c r="F27" s="69"/>
      <c r="G27" s="71" t="s">
        <v>67</v>
      </c>
      <c r="H27" s="69"/>
      <c r="I27" s="146">
        <f>ROUND(F26+H26+K26+N26,0)</f>
        <v>18</v>
      </c>
      <c r="J27" s="146"/>
      <c r="K27" s="69"/>
      <c r="L27" s="145"/>
      <c r="M27" s="145"/>
      <c r="N27" s="69"/>
      <c r="O27" s="60"/>
      <c r="Q27">
        <v>1</v>
      </c>
      <c r="R27" s="88">
        <f>R22*10</f>
        <v>110</v>
      </c>
      <c r="S27" s="88">
        <f>R27+Q27</f>
        <v>111</v>
      </c>
      <c r="V27">
        <f>R22*10</f>
        <v>110</v>
      </c>
      <c r="W27">
        <f>V27+Q27</f>
        <v>111</v>
      </c>
      <c r="Z27">
        <f>R22*10</f>
        <v>110</v>
      </c>
      <c r="AA27">
        <f>Z27+Q27</f>
        <v>111</v>
      </c>
    </row>
    <row r="28" spans="1:30" x14ac:dyDescent="0.25">
      <c r="C28" s="4"/>
      <c r="D28" s="5"/>
      <c r="E28" s="5"/>
      <c r="F28" s="61" t="s">
        <v>62</v>
      </c>
      <c r="G28" s="61" t="str">
        <f>IF(ISNUMBER(SEARCH("Medal",G5)),"Y","N")</f>
        <v>N</v>
      </c>
      <c r="H28" s="61"/>
      <c r="I28" s="61"/>
      <c r="J28" s="61"/>
      <c r="K28" s="61"/>
      <c r="L28" s="61" t="str">
        <f>IF(ISNUMBER(SEARCH("Medal",G5)),"Y","N")</f>
        <v>N</v>
      </c>
      <c r="M28" s="5"/>
      <c r="N28" s="8"/>
      <c r="O28" s="60"/>
      <c r="Q28">
        <v>2</v>
      </c>
      <c r="R28" s="88">
        <f>R23*10</f>
        <v>230</v>
      </c>
      <c r="S28" s="88">
        <f>R28+Q28</f>
        <v>232</v>
      </c>
      <c r="V28">
        <f>R23*10</f>
        <v>230</v>
      </c>
      <c r="W28">
        <f>V28+Q28</f>
        <v>232</v>
      </c>
      <c r="Z28">
        <f>R23*10</f>
        <v>230</v>
      </c>
      <c r="AA28">
        <f>Z28+Q28</f>
        <v>232</v>
      </c>
      <c r="AD28" s="51"/>
    </row>
    <row r="29" spans="1:30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60"/>
      <c r="Q29">
        <v>3</v>
      </c>
      <c r="R29" s="88">
        <f>R24*10</f>
        <v>340</v>
      </c>
      <c r="S29" s="88">
        <f>R29+Q29</f>
        <v>343</v>
      </c>
      <c r="V29">
        <f>R24*10</f>
        <v>340</v>
      </c>
      <c r="W29">
        <f>V29+Q29</f>
        <v>343</v>
      </c>
      <c r="Y29" s="52"/>
      <c r="AC29" s="52"/>
    </row>
    <row r="30" spans="1:30" ht="23.25" customHeight="1" thickBot="1" x14ac:dyDescent="0.3">
      <c r="C30" s="140" t="s">
        <v>98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  <c r="Q30">
        <v>4</v>
      </c>
      <c r="R30" s="88">
        <f>R25*10</f>
        <v>450</v>
      </c>
      <c r="S30" s="88">
        <f>R30+Q30</f>
        <v>454</v>
      </c>
    </row>
    <row r="31" spans="1:30" hidden="1" x14ac:dyDescent="0.25">
      <c r="D31" s="1" t="s">
        <v>41</v>
      </c>
      <c r="E31" s="1" t="s">
        <v>37</v>
      </c>
      <c r="F31" s="1" t="s">
        <v>38</v>
      </c>
      <c r="G31" s="1" t="s">
        <v>40</v>
      </c>
      <c r="H31" t="s">
        <v>4</v>
      </c>
      <c r="I31" s="1" t="s">
        <v>56</v>
      </c>
      <c r="K31" s="1" t="s">
        <v>33</v>
      </c>
      <c r="L31" s="1" t="s">
        <v>35</v>
      </c>
      <c r="M31" s="1" t="s">
        <v>51</v>
      </c>
      <c r="N31" s="1" t="s">
        <v>52</v>
      </c>
      <c r="O31" s="1" t="s">
        <v>53</v>
      </c>
      <c r="P31" s="1"/>
      <c r="R31" s="88"/>
      <c r="S31" s="88"/>
    </row>
    <row r="32" spans="1:30" hidden="1" x14ac:dyDescent="0.25">
      <c r="A32">
        <v>1</v>
      </c>
      <c r="C32" t="s">
        <v>65</v>
      </c>
      <c r="D32" s="1">
        <f>IF($F$9&gt;$Q$13,$F$9-$Q$13,0)</f>
        <v>0</v>
      </c>
      <c r="E32" s="1">
        <f>IF($H$9&gt;$Q$13,$H$9-$Q$13,0)</f>
        <v>1.2000000000000028</v>
      </c>
      <c r="F32" s="37">
        <f>IF($K$9&gt;$Q$13,$K$9-$Q$13,0)</f>
        <v>0</v>
      </c>
      <c r="G32" s="37">
        <f>IF($N$9&gt;$Q$13,$N$9-$Q$13,0)</f>
        <v>0</v>
      </c>
      <c r="H32">
        <v>0.95</v>
      </c>
      <c r="I32" t="s">
        <v>63</v>
      </c>
      <c r="J32" t="s">
        <v>46</v>
      </c>
      <c r="K32">
        <f>F9</f>
        <v>71.2</v>
      </c>
      <c r="L32">
        <f>F10</f>
        <v>71</v>
      </c>
      <c r="M32">
        <f>F11</f>
        <v>127</v>
      </c>
      <c r="N32">
        <f>F14</f>
        <v>0</v>
      </c>
      <c r="P32" s="1"/>
      <c r="R32" s="88">
        <f>SMALL(R$27:R$30,1)</f>
        <v>110</v>
      </c>
      <c r="S32" s="88">
        <f>SMALL(S$27:S$30,1)</f>
        <v>111</v>
      </c>
      <c r="T32">
        <f>S32-R32</f>
        <v>1</v>
      </c>
      <c r="U32">
        <v>0.25</v>
      </c>
      <c r="V32">
        <f>SMALL(V$27:V$29,1)</f>
        <v>110</v>
      </c>
      <c r="W32">
        <f>SMALL(W$27:W$29,1)</f>
        <v>111</v>
      </c>
      <c r="X32">
        <f>W32-V32</f>
        <v>1</v>
      </c>
      <c r="Y32">
        <v>0.3</v>
      </c>
      <c r="Z32">
        <f>SMALL(Z$27:Z$29,1)</f>
        <v>110</v>
      </c>
      <c r="AA32">
        <f>SMALL(AA$27:AA$28,1)</f>
        <v>111</v>
      </c>
      <c r="AB32">
        <f>AA32-Z32</f>
        <v>1</v>
      </c>
      <c r="AC32">
        <v>0.35</v>
      </c>
    </row>
    <row r="33" spans="1:29" hidden="1" x14ac:dyDescent="0.25">
      <c r="A33">
        <v>2</v>
      </c>
      <c r="C33" t="s">
        <v>66</v>
      </c>
      <c r="D33" s="1">
        <f>IF($F$9&gt;$Q$13,$F$9-$Q$13,0)</f>
        <v>0</v>
      </c>
      <c r="E33" s="1">
        <f>IF($H$9&gt;$Q$13,$H$9-$Q$13,0)</f>
        <v>1.2000000000000028</v>
      </c>
      <c r="F33" s="37">
        <f>IF($K$9&gt;$Q$13,$K$9-$Q$13,0)</f>
        <v>0</v>
      </c>
      <c r="G33" s="37">
        <f>IF($N$9&gt;$Q$13,$N$9-$Q$13,0)</f>
        <v>0</v>
      </c>
      <c r="H33">
        <v>1</v>
      </c>
      <c r="I33" t="s">
        <v>64</v>
      </c>
      <c r="J33" t="s">
        <v>47</v>
      </c>
      <c r="K33">
        <f>H9</f>
        <v>72.400000000000006</v>
      </c>
      <c r="L33">
        <f>H10</f>
        <v>74</v>
      </c>
      <c r="M33">
        <f>H11</f>
        <v>128</v>
      </c>
      <c r="N33">
        <f>H14</f>
        <v>1.2000000000000028</v>
      </c>
      <c r="P33" s="1"/>
      <c r="R33" s="88">
        <f>SMALL(R$27:R$30,2)</f>
        <v>230</v>
      </c>
      <c r="S33" s="88">
        <f>SMALL(S$27:S$30,2)</f>
        <v>232</v>
      </c>
      <c r="T33">
        <f>S33-R33</f>
        <v>2</v>
      </c>
      <c r="U33">
        <v>0.2</v>
      </c>
      <c r="V33">
        <f>SMALL(V$27:V$29,2)</f>
        <v>230</v>
      </c>
      <c r="W33">
        <f>SMALL(W$27:W$29,2)</f>
        <v>232</v>
      </c>
      <c r="X33">
        <f>W33-V33</f>
        <v>2</v>
      </c>
      <c r="Y33">
        <v>0.2</v>
      </c>
      <c r="Z33">
        <f>SMALL(Z$27:Z$29,2)</f>
        <v>230</v>
      </c>
      <c r="AA33">
        <f>SMALL(AA$27:AA$28,2)</f>
        <v>232</v>
      </c>
      <c r="AB33">
        <f>AA33-Z33</f>
        <v>2</v>
      </c>
      <c r="AC33">
        <v>0.15</v>
      </c>
    </row>
    <row r="34" spans="1:29" hidden="1" x14ac:dyDescent="0.25">
      <c r="A34">
        <v>3</v>
      </c>
      <c r="C34" t="s">
        <v>100</v>
      </c>
      <c r="D34" s="1">
        <f>IF($F$9&gt;$Q$13,$F$9-$Q$13,0)</f>
        <v>0</v>
      </c>
      <c r="E34" s="1">
        <f>IF($H$9&gt;$Q$13,$H$9-$Q$13,0)</f>
        <v>1.2000000000000028</v>
      </c>
      <c r="F34" s="37">
        <f>IF($K$9&gt;$Q$13,$K$9-$Q$13,0)</f>
        <v>0</v>
      </c>
      <c r="G34" s="37">
        <f>IF($N$9&gt;$Q$13,$N$9-$Q$13,0)</f>
        <v>0</v>
      </c>
      <c r="H34">
        <v>0.95</v>
      </c>
      <c r="I34" t="s">
        <v>63</v>
      </c>
      <c r="J34" t="s">
        <v>48</v>
      </c>
      <c r="K34" s="51">
        <f>K9</f>
        <v>0</v>
      </c>
      <c r="L34">
        <f>K10</f>
        <v>0</v>
      </c>
      <c r="M34">
        <f>K11</f>
        <v>0</v>
      </c>
      <c r="N34">
        <f>K14</f>
        <v>0</v>
      </c>
      <c r="P34" s="1"/>
      <c r="R34" s="88">
        <f>SMALL(R$27:R$30,3)</f>
        <v>340</v>
      </c>
      <c r="S34" s="88">
        <f>SMALL(S$27:S$30,3)</f>
        <v>343</v>
      </c>
      <c r="T34">
        <f>S34-R34</f>
        <v>3</v>
      </c>
      <c r="U34">
        <v>0.15</v>
      </c>
      <c r="V34">
        <f>SMALL(V$27:V$29,3)</f>
        <v>340</v>
      </c>
      <c r="W34">
        <f>SMALL(W$27:W$29,3)</f>
        <v>343</v>
      </c>
      <c r="X34">
        <f>W34-V34</f>
        <v>3</v>
      </c>
      <c r="Y34">
        <v>0.1</v>
      </c>
      <c r="AB34">
        <v>3</v>
      </c>
    </row>
    <row r="35" spans="1:29" hidden="1" x14ac:dyDescent="0.25">
      <c r="A35">
        <v>4</v>
      </c>
      <c r="C35" t="s">
        <v>60</v>
      </c>
      <c r="D35" s="1">
        <f>IF($F$12&lt;$S$13,$S$13-$F$12,0)</f>
        <v>2</v>
      </c>
      <c r="E35" s="1">
        <f>IF($H$12&lt;$S$13,$S$13-$H$12,0)</f>
        <v>0</v>
      </c>
      <c r="F35" s="1">
        <f>IF($K$12&lt;$S$13,$S$13-$K$12,0)</f>
        <v>38</v>
      </c>
      <c r="G35" s="1">
        <f>IF($N$12&lt;$S$13,$S$13-$N$12,0)</f>
        <v>38</v>
      </c>
      <c r="H35">
        <v>1</v>
      </c>
      <c r="I35" t="s">
        <v>64</v>
      </c>
      <c r="J35" t="s">
        <v>49</v>
      </c>
      <c r="K35" s="51">
        <f>N9</f>
        <v>0</v>
      </c>
      <c r="L35">
        <f>N10</f>
        <v>0</v>
      </c>
      <c r="M35">
        <f>N11</f>
        <v>0</v>
      </c>
      <c r="N35">
        <f>N14</f>
        <v>0</v>
      </c>
      <c r="P35" s="1"/>
      <c r="R35" s="88">
        <f>SMALL(R$27:R$30,4)</f>
        <v>450</v>
      </c>
      <c r="S35" s="88">
        <f>SMALL(S$27:S$30,4)</f>
        <v>454</v>
      </c>
      <c r="T35">
        <f>S35-R35</f>
        <v>4</v>
      </c>
      <c r="U35">
        <v>0.1</v>
      </c>
      <c r="X35">
        <v>4</v>
      </c>
      <c r="Y35">
        <v>0</v>
      </c>
      <c r="AB35">
        <v>4</v>
      </c>
      <c r="AC35">
        <v>0</v>
      </c>
    </row>
    <row r="36" spans="1:29" hidden="1" x14ac:dyDescent="0.25">
      <c r="D36" s="1">
        <f>VLOOKUP(G5,C32:D35,2,FALSE)</f>
        <v>0</v>
      </c>
      <c r="E36" s="1">
        <f>VLOOKUP(G5,C32:E35,3,FALSE)</f>
        <v>1.2000000000000028</v>
      </c>
      <c r="F36" s="1">
        <f>VLOOKUP(G5,C32:F35,4,FALSE)</f>
        <v>0</v>
      </c>
      <c r="G36" s="1">
        <f>VLOOKUP(G5,C32:G35,5,FALSE)</f>
        <v>0</v>
      </c>
      <c r="H36">
        <f>VLOOKUP(G5,C32:H35,6,FALSE)</f>
        <v>0.95</v>
      </c>
      <c r="I36" t="str">
        <f>VLOOKUP(G5,C32:I35,7,FALSE)</f>
        <v>N</v>
      </c>
      <c r="N36"/>
      <c r="P36" s="1"/>
    </row>
    <row r="37" spans="1:29" hidden="1" x14ac:dyDescent="0.25">
      <c r="I37">
        <v>1</v>
      </c>
      <c r="J37" t="s">
        <v>45</v>
      </c>
      <c r="K37">
        <f>VLOOKUP(F21,J32:M35,4,FALSE)</f>
        <v>127</v>
      </c>
      <c r="L37">
        <f>VLOOKUP(F21,J32:M35,2,FALSE)</f>
        <v>71.2</v>
      </c>
      <c r="M37">
        <f>VLOOKUP(F21,J32:M35,3,FALSE)</f>
        <v>71</v>
      </c>
      <c r="N37">
        <f>VLOOKUP(F21,J32:N35,5,FALSE)</f>
        <v>0</v>
      </c>
      <c r="O37" s="1">
        <f>VLOOKUP(I37,$S$38:$T$41,2,FALSE)</f>
        <v>0.25</v>
      </c>
      <c r="P37" s="1"/>
    </row>
    <row r="38" spans="1:29" hidden="1" x14ac:dyDescent="0.25">
      <c r="C38" t="s">
        <v>26</v>
      </c>
      <c r="I38">
        <v>2</v>
      </c>
      <c r="J38" t="s">
        <v>42</v>
      </c>
      <c r="K38">
        <f>VLOOKUP(H21,J32:M35,4,FALSE)</f>
        <v>128</v>
      </c>
      <c r="L38">
        <f>VLOOKUP(H21,J32:M35,2,FALSE)</f>
        <v>72.400000000000006</v>
      </c>
      <c r="M38">
        <f>VLOOKUP(H21,J32:M35,3,FALSE)</f>
        <v>74</v>
      </c>
      <c r="N38">
        <f>VLOOKUP(H21,J32:N35,5,FALSE)</f>
        <v>1.2000000000000028</v>
      </c>
      <c r="O38" s="1">
        <f t="shared" ref="O38:O40" si="0">VLOOKUP(I38,$S$38:$T$41,2,FALSE)</f>
        <v>0.2</v>
      </c>
      <c r="P38" s="1"/>
      <c r="S38">
        <f>IF($G$5=$C$32,$T32,IF($G$5=$C$33,$X32,$AB32))</f>
        <v>1</v>
      </c>
      <c r="T38">
        <f>IF($G$5=$C$32,$U32,IF($G$5=$C$33,$Y32,$AC32))</f>
        <v>0.25</v>
      </c>
    </row>
    <row r="39" spans="1:29" hidden="1" x14ac:dyDescent="0.25">
      <c r="C39" t="s">
        <v>27</v>
      </c>
      <c r="I39">
        <v>3</v>
      </c>
      <c r="J39" t="s">
        <v>43</v>
      </c>
      <c r="K39">
        <f>VLOOKUP(K21,J32:M35,4,FALSE)</f>
        <v>128</v>
      </c>
      <c r="L39">
        <f>VLOOKUP(K21,J32:M35,2,FALSE)</f>
        <v>72.400000000000006</v>
      </c>
      <c r="M39">
        <f>VLOOKUP(K21,J32:M35,3,FALSE)</f>
        <v>74</v>
      </c>
      <c r="N39">
        <f>VLOOKUP(K21,J32:N35,5,FALSE)</f>
        <v>1.2000000000000028</v>
      </c>
      <c r="O39" s="1">
        <f t="shared" si="0"/>
        <v>0.15</v>
      </c>
      <c r="P39" s="1"/>
      <c r="S39">
        <f t="shared" ref="S39:S41" si="1">IF($G$5=$C$32,$T33,IF($G$5=$C$33,$X33,$AB33))</f>
        <v>2</v>
      </c>
      <c r="T39">
        <f t="shared" ref="T39:T41" si="2">IF($G$5=$C$32,$U33,IF($G$5=$C$33,$Y33,$AC33))</f>
        <v>0.2</v>
      </c>
    </row>
    <row r="40" spans="1:29" hidden="1" x14ac:dyDescent="0.25">
      <c r="C40" t="s">
        <v>28</v>
      </c>
      <c r="I40">
        <v>4</v>
      </c>
      <c r="J40" t="s">
        <v>44</v>
      </c>
      <c r="K40">
        <f>VLOOKUP(N21,J32:M35,4,FALSE)</f>
        <v>128</v>
      </c>
      <c r="L40">
        <f>VLOOKUP(N21,J32:M35,2,FALSE)</f>
        <v>72.400000000000006</v>
      </c>
      <c r="M40">
        <f>VLOOKUP(N21,J32:M35,3,FALSE)</f>
        <v>74</v>
      </c>
      <c r="N40">
        <f>VLOOKUP(N21,J32:N35,5,FALSE)</f>
        <v>1.2000000000000028</v>
      </c>
      <c r="O40" s="1">
        <f t="shared" si="0"/>
        <v>0.1</v>
      </c>
      <c r="P40" s="1"/>
      <c r="S40">
        <f t="shared" si="1"/>
        <v>3</v>
      </c>
      <c r="T40">
        <f t="shared" si="2"/>
        <v>0.15</v>
      </c>
    </row>
    <row r="41" spans="1:29" hidden="1" x14ac:dyDescent="0.25">
      <c r="C41" t="s">
        <v>29</v>
      </c>
      <c r="N41"/>
      <c r="P41" s="1"/>
      <c r="S41">
        <f t="shared" si="1"/>
        <v>4</v>
      </c>
      <c r="T41">
        <f t="shared" si="2"/>
        <v>0.1</v>
      </c>
    </row>
    <row r="42" spans="1:29" hidden="1" x14ac:dyDescent="0.25"/>
    <row r="43" spans="1:29" hidden="1" x14ac:dyDescent="0.25">
      <c r="C43" t="s">
        <v>46</v>
      </c>
      <c r="J43" t="s">
        <v>54</v>
      </c>
    </row>
    <row r="44" spans="1:29" hidden="1" x14ac:dyDescent="0.25">
      <c r="C44" t="s">
        <v>47</v>
      </c>
    </row>
    <row r="45" spans="1:29" hidden="1" x14ac:dyDescent="0.25">
      <c r="C45" t="s">
        <v>48</v>
      </c>
      <c r="H45" t="s">
        <v>104</v>
      </c>
      <c r="K45" t="s">
        <v>106</v>
      </c>
    </row>
    <row r="46" spans="1:29" hidden="1" x14ac:dyDescent="0.25">
      <c r="D46" s="87" t="s">
        <v>68</v>
      </c>
      <c r="H46" s="36" t="s">
        <v>29</v>
      </c>
      <c r="I46" s="36" t="s">
        <v>105</v>
      </c>
      <c r="K46" s="36" t="s">
        <v>29</v>
      </c>
      <c r="L46" s="36" t="s">
        <v>105</v>
      </c>
    </row>
    <row r="47" spans="1:29" ht="12.4" hidden="1" customHeight="1" x14ac:dyDescent="0.25">
      <c r="C47" t="s">
        <v>45</v>
      </c>
      <c r="D47" s="37">
        <f>F19</f>
        <v>10</v>
      </c>
      <c r="E47" s="78">
        <f>IF(J5=18,H47,K47)</f>
        <v>11.238938053097344</v>
      </c>
      <c r="F47">
        <f>IF(E47&lt;0,ROUND(E47+0.001,0),ROUND(E47,0))</f>
        <v>11</v>
      </c>
      <c r="H47" s="78">
        <f>D47*K37/113</f>
        <v>11.238938053097344</v>
      </c>
      <c r="I47">
        <f>IF(H47&lt;0,ROUND(H47+0.001,0),ROUND(H47,0))</f>
        <v>11</v>
      </c>
      <c r="K47" s="78">
        <f>((D47/2)*K37/113)+(L37-M37)</f>
        <v>5.819469026548675</v>
      </c>
      <c r="L47">
        <f>IF(K47&lt;0,ROUND(K47+0.001,0),ROUND(K47,0))</f>
        <v>6</v>
      </c>
    </row>
    <row r="48" spans="1:29" hidden="1" x14ac:dyDescent="0.25">
      <c r="C48" t="s">
        <v>42</v>
      </c>
      <c r="D48" s="37">
        <f>H19</f>
        <v>20</v>
      </c>
      <c r="E48" s="78">
        <f>IF(J5=18,H48,K48)</f>
        <v>22.654867256637168</v>
      </c>
      <c r="F48">
        <f t="shared" ref="F48:F50" si="3">IF(E48&lt;0,ROUND(E48+0.001,0),ROUND(E48,0))</f>
        <v>23</v>
      </c>
      <c r="H48" s="78">
        <f t="shared" ref="H48:H50" si="4">D48*K38/113</f>
        <v>22.654867256637168</v>
      </c>
      <c r="I48">
        <f t="shared" ref="I48:I50" si="5">IF(H48&lt;0,ROUND(H48+0.001,0),ROUND(H48,0))</f>
        <v>23</v>
      </c>
      <c r="K48" s="78">
        <f>((D48/2)*K38/113)+(L38-M38)</f>
        <v>9.7274336283185896</v>
      </c>
      <c r="L48">
        <f t="shared" ref="L48:L50" si="6">IF(K48&lt;0,ROUND(K48+0.001,0),ROUND(K48,0))</f>
        <v>10</v>
      </c>
    </row>
    <row r="49" spans="3:12" hidden="1" x14ac:dyDescent="0.25">
      <c r="C49" t="s">
        <v>43</v>
      </c>
      <c r="D49" s="37">
        <f>K19</f>
        <v>30</v>
      </c>
      <c r="E49" s="78">
        <f>IF(J5=18,H49,K49)</f>
        <v>33.982300884955755</v>
      </c>
      <c r="F49">
        <f t="shared" si="3"/>
        <v>34</v>
      </c>
      <c r="H49" s="78">
        <f t="shared" si="4"/>
        <v>33.982300884955755</v>
      </c>
      <c r="I49">
        <f t="shared" si="5"/>
        <v>34</v>
      </c>
      <c r="K49" s="78">
        <f>((D49/2)*K39/113)+(L39-M39)</f>
        <v>15.391150442477883</v>
      </c>
      <c r="L49">
        <f t="shared" si="6"/>
        <v>15</v>
      </c>
    </row>
    <row r="50" spans="3:12" hidden="1" x14ac:dyDescent="0.25">
      <c r="C50" t="s">
        <v>44</v>
      </c>
      <c r="D50" s="37">
        <f>N19</f>
        <v>40</v>
      </c>
      <c r="E50" s="78">
        <f>IF(J5=18,H50,K50)</f>
        <v>45.309734513274336</v>
      </c>
      <c r="F50">
        <f t="shared" si="3"/>
        <v>45</v>
      </c>
      <c r="H50" s="78">
        <f t="shared" si="4"/>
        <v>45.309734513274336</v>
      </c>
      <c r="I50">
        <f t="shared" si="5"/>
        <v>45</v>
      </c>
      <c r="K50" s="78">
        <f>((D50/2)*K40/113)+(L40-M40)</f>
        <v>21.054867256637174</v>
      </c>
      <c r="L50">
        <f t="shared" si="6"/>
        <v>21</v>
      </c>
    </row>
    <row r="51" spans="3:12" hidden="1" x14ac:dyDescent="0.25"/>
    <row r="52" spans="3:12" hidden="1" x14ac:dyDescent="0.25">
      <c r="C52">
        <v>18</v>
      </c>
    </row>
    <row r="53" spans="3:12" hidden="1" x14ac:dyDescent="0.25">
      <c r="C53">
        <v>9</v>
      </c>
    </row>
  </sheetData>
  <sheetProtection algorithmName="SHA-512" hashValue="wY7uR3l4/pKXgI+ArAc9fBccIHuojqU5noEZRuPETvCz+HAcKOFaFDdHx+p35faHDy4DEjW9LpuHxcg1MHM78Q==" saltValue="rmY9n53mkJ4bTIc+dn2Jmw==" spinCount="100000" sheet="1" selectLockedCells="1"/>
  <mergeCells count="11">
    <mergeCell ref="C2:D2"/>
    <mergeCell ref="C3:D3"/>
    <mergeCell ref="G3:H3"/>
    <mergeCell ref="C5:D5"/>
    <mergeCell ref="G5:H5"/>
    <mergeCell ref="Z26:AA26"/>
    <mergeCell ref="L27:M27"/>
    <mergeCell ref="C30:O30"/>
    <mergeCell ref="I27:J27"/>
    <mergeCell ref="R26:S26"/>
    <mergeCell ref="V26:W26"/>
  </mergeCells>
  <conditionalFormatting sqref="F23">
    <cfRule type="expression" dxfId="11" priority="7">
      <formula>$G$3=$C$41</formula>
    </cfRule>
  </conditionalFormatting>
  <conditionalFormatting sqref="H23">
    <cfRule type="expression" dxfId="10" priority="6">
      <formula>$G$3=$C$41</formula>
    </cfRule>
  </conditionalFormatting>
  <conditionalFormatting sqref="K23">
    <cfRule type="expression" dxfId="9" priority="5">
      <formula>$G$3=$C$41</formula>
    </cfRule>
  </conditionalFormatting>
  <conditionalFormatting sqref="N23">
    <cfRule type="expression" dxfId="8" priority="4">
      <formula>$G$3=$C$41</formula>
    </cfRule>
  </conditionalFormatting>
  <conditionalFormatting sqref="N17:O26">
    <cfRule type="expression" dxfId="7" priority="2">
      <formula>$G$5=$C$33</formula>
    </cfRule>
  </conditionalFormatting>
  <conditionalFormatting sqref="K16:O26">
    <cfRule type="expression" dxfId="6" priority="1">
      <formula>$G$5=$C$34</formula>
    </cfRule>
  </conditionalFormatting>
  <dataValidations count="4">
    <dataValidation type="list" allowBlank="1" showInputMessage="1" showErrorMessage="1" sqref="G5:H5" xr:uid="{CE6FCD61-0261-4FD2-AA97-16E175996079}">
      <formula1>$C$32:$C$34</formula1>
    </dataValidation>
    <dataValidation type="list" allowBlank="1" showInputMessage="1" showErrorMessage="1" sqref="N21 F21 H21 K21" xr:uid="{7818F8DD-8AD4-40A3-93FD-63FDF80279B7}">
      <formula1>$C$43:$C$45</formula1>
    </dataValidation>
    <dataValidation type="list" allowBlank="1" showInputMessage="1" showErrorMessage="1" sqref="G3" xr:uid="{A770DDFE-207D-4C0A-BA08-8E88E4F049C6}">
      <formula1>$C$38:$C$41</formula1>
    </dataValidation>
    <dataValidation type="list" allowBlank="1" showInputMessage="1" showErrorMessage="1" sqref="J5" xr:uid="{B1B963E5-F4B8-4CCE-BD3D-F669392A827E}">
      <formula1>$C$52:$C$53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F42C-8F1E-4E8D-9D41-F765774D2593}">
  <dimension ref="A1:AD65"/>
  <sheetViews>
    <sheetView workbookViewId="0">
      <selection activeCell="N21" sqref="N21"/>
    </sheetView>
  </sheetViews>
  <sheetFormatPr defaultRowHeight="15" x14ac:dyDescent="0.25"/>
  <cols>
    <col min="2" max="2" width="4.42578125" customWidth="1"/>
    <col min="3" max="3" width="22.7109375" bestFit="1" customWidth="1"/>
    <col min="5" max="5" width="13" customWidth="1"/>
    <col min="7" max="7" width="17.5703125" customWidth="1"/>
    <col min="9" max="9" width="10.140625" customWidth="1"/>
    <col min="14" max="15" width="9" style="1"/>
    <col min="16" max="26" width="9" hidden="1" customWidth="1"/>
  </cols>
  <sheetData>
    <row r="1" spans="3:26" ht="15.75" thickBot="1" x14ac:dyDescent="0.3"/>
    <row r="2" spans="3:26" x14ac:dyDescent="0.25">
      <c r="C2" s="108" t="s">
        <v>22</v>
      </c>
      <c r="D2" s="109"/>
      <c r="E2" s="2"/>
      <c r="F2" s="2"/>
      <c r="G2" s="2"/>
      <c r="H2" s="2"/>
      <c r="I2" s="2"/>
      <c r="J2" s="2"/>
      <c r="K2" s="2"/>
      <c r="L2" s="2"/>
      <c r="M2" s="2"/>
      <c r="N2" s="58"/>
      <c r="O2" s="59"/>
    </row>
    <row r="3" spans="3:26" ht="22.35" customHeight="1" x14ac:dyDescent="0.25">
      <c r="C3" s="110" t="s">
        <v>23</v>
      </c>
      <c r="D3" s="111"/>
      <c r="E3" s="5"/>
      <c r="F3" s="30" t="s">
        <v>30</v>
      </c>
      <c r="G3" s="143" t="s">
        <v>26</v>
      </c>
      <c r="H3" s="143"/>
      <c r="I3" s="5"/>
      <c r="J3" s="5"/>
      <c r="K3" s="5"/>
      <c r="L3" s="5"/>
      <c r="M3" s="5"/>
      <c r="N3" s="8"/>
      <c r="O3" s="60"/>
    </row>
    <row r="4" spans="3:26" x14ac:dyDescent="0.25">
      <c r="C4" s="53"/>
      <c r="D4" s="54"/>
      <c r="E4" s="5"/>
      <c r="F4" s="5"/>
      <c r="G4" s="5"/>
      <c r="H4" s="5"/>
      <c r="I4" s="5"/>
      <c r="J4" s="5"/>
      <c r="K4" s="5"/>
      <c r="L4" s="5"/>
      <c r="M4" s="5"/>
      <c r="N4" s="8"/>
      <c r="O4" s="60"/>
    </row>
    <row r="5" spans="3:26" ht="22.35" customHeight="1" x14ac:dyDescent="0.35">
      <c r="C5" s="129" t="s">
        <v>39</v>
      </c>
      <c r="D5" s="130"/>
      <c r="E5" s="31" t="s">
        <v>21</v>
      </c>
      <c r="F5" s="32"/>
      <c r="G5" s="143" t="s">
        <v>83</v>
      </c>
      <c r="H5" s="143"/>
      <c r="I5" s="5"/>
      <c r="J5" s="98" t="s">
        <v>88</v>
      </c>
      <c r="K5" s="5"/>
      <c r="L5" s="5"/>
      <c r="M5" s="5"/>
      <c r="N5" s="8"/>
      <c r="O5" s="60"/>
    </row>
    <row r="6" spans="3:26" x14ac:dyDescent="0.2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60"/>
    </row>
    <row r="7" spans="3:26" x14ac:dyDescent="0.25">
      <c r="C7" s="4"/>
      <c r="D7" s="5"/>
      <c r="E7" s="5"/>
      <c r="F7" s="54" t="s">
        <v>36</v>
      </c>
      <c r="G7" s="8"/>
      <c r="H7" s="54" t="s">
        <v>37</v>
      </c>
      <c r="I7" s="8"/>
      <c r="J7" s="8"/>
      <c r="K7" s="54" t="s">
        <v>38</v>
      </c>
      <c r="L7" s="5"/>
      <c r="M7" s="8"/>
      <c r="N7" s="54"/>
      <c r="O7" s="60"/>
      <c r="Q7" s="1" t="s">
        <v>33</v>
      </c>
      <c r="R7" s="1" t="s">
        <v>35</v>
      </c>
      <c r="S7" s="1" t="s">
        <v>16</v>
      </c>
      <c r="U7" s="92"/>
      <c r="V7" s="92" t="s">
        <v>46</v>
      </c>
      <c r="W7" s="92"/>
      <c r="X7" s="92" t="s">
        <v>47</v>
      </c>
      <c r="Z7" s="92" t="s">
        <v>48</v>
      </c>
    </row>
    <row r="8" spans="3:26" x14ac:dyDescent="0.2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0"/>
      <c r="Q8" s="1"/>
      <c r="R8" s="1"/>
      <c r="S8" s="1"/>
      <c r="U8" s="92"/>
      <c r="V8" s="92"/>
      <c r="W8" s="92"/>
      <c r="X8" s="92"/>
      <c r="Z8" s="92"/>
    </row>
    <row r="9" spans="3:26" ht="20.100000000000001" customHeight="1" x14ac:dyDescent="0.25">
      <c r="C9" s="4"/>
      <c r="D9" s="5"/>
      <c r="E9" s="7" t="s">
        <v>11</v>
      </c>
      <c r="F9" s="49">
        <v>71.2</v>
      </c>
      <c r="G9" s="7" t="s">
        <v>11</v>
      </c>
      <c r="H9" s="49">
        <v>72.400000000000006</v>
      </c>
      <c r="I9" s="5"/>
      <c r="J9" s="7" t="s">
        <v>11</v>
      </c>
      <c r="K9" s="49"/>
      <c r="L9" s="5"/>
      <c r="M9" s="7"/>
      <c r="N9" s="75"/>
      <c r="O9" s="60"/>
      <c r="Q9" s="1">
        <f>F9</f>
        <v>71.2</v>
      </c>
      <c r="R9" s="1">
        <f>F10</f>
        <v>71</v>
      </c>
      <c r="S9" s="1">
        <f>F12</f>
        <v>36</v>
      </c>
      <c r="U9" s="92" t="s">
        <v>16</v>
      </c>
      <c r="V9" s="106">
        <f>F9-F10</f>
        <v>0.20000000000000284</v>
      </c>
      <c r="W9" s="106"/>
      <c r="X9" s="106">
        <f>H9-H10</f>
        <v>-1.5999999999999943</v>
      </c>
      <c r="Z9" s="106">
        <f>K9-K10</f>
        <v>0</v>
      </c>
    </row>
    <row r="10" spans="3:26" ht="20.100000000000001" customHeight="1" x14ac:dyDescent="0.25">
      <c r="C10" s="4"/>
      <c r="D10" s="5"/>
      <c r="E10" s="7" t="s">
        <v>0</v>
      </c>
      <c r="F10" s="48">
        <v>71</v>
      </c>
      <c r="G10" s="7" t="s">
        <v>0</v>
      </c>
      <c r="H10" s="48">
        <v>74</v>
      </c>
      <c r="I10" s="5"/>
      <c r="J10" s="7" t="s">
        <v>0</v>
      </c>
      <c r="K10" s="48"/>
      <c r="L10" s="5"/>
      <c r="M10" s="7"/>
      <c r="N10" s="76"/>
      <c r="O10" s="60"/>
      <c r="Q10" s="1">
        <f>H9</f>
        <v>72.400000000000006</v>
      </c>
      <c r="R10" s="1">
        <f>H10</f>
        <v>74</v>
      </c>
      <c r="S10" s="1">
        <f>H12</f>
        <v>38</v>
      </c>
      <c r="U10" s="92" t="s">
        <v>101</v>
      </c>
      <c r="V10" s="106">
        <f>TRUNC(V9)</f>
        <v>0</v>
      </c>
      <c r="W10" s="92"/>
      <c r="X10" s="106">
        <f>TRUNC(X9)</f>
        <v>-1</v>
      </c>
      <c r="Z10" s="106">
        <f>TRUNC(Z9)</f>
        <v>0</v>
      </c>
    </row>
    <row r="11" spans="3:26" ht="20.100000000000001" customHeight="1" x14ac:dyDescent="0.25">
      <c r="C11" s="4"/>
      <c r="D11" s="5"/>
      <c r="E11" s="7" t="s">
        <v>12</v>
      </c>
      <c r="F11" s="48">
        <v>127</v>
      </c>
      <c r="G11" s="7" t="s">
        <v>12</v>
      </c>
      <c r="H11" s="48">
        <v>128</v>
      </c>
      <c r="I11" s="5"/>
      <c r="J11" s="7" t="s">
        <v>12</v>
      </c>
      <c r="K11" s="48"/>
      <c r="L11" s="5"/>
      <c r="M11" s="7"/>
      <c r="N11" s="76"/>
      <c r="O11" s="60"/>
      <c r="Q11" s="1">
        <f>K9</f>
        <v>0</v>
      </c>
      <c r="R11" s="1">
        <f>K10</f>
        <v>0</v>
      </c>
      <c r="S11" s="1">
        <f>K12</f>
        <v>0</v>
      </c>
      <c r="U11" s="92" t="s">
        <v>102</v>
      </c>
      <c r="V11" s="106">
        <f>V9-V10</f>
        <v>0.20000000000000284</v>
      </c>
      <c r="W11" s="92"/>
      <c r="X11" s="106">
        <f>X9-X10</f>
        <v>-0.59999999999999432</v>
      </c>
      <c r="Z11" s="106">
        <f>Z9-Z10</f>
        <v>0</v>
      </c>
    </row>
    <row r="12" spans="3:26" x14ac:dyDescent="0.25">
      <c r="C12" s="4"/>
      <c r="D12" s="5"/>
      <c r="E12" s="10" t="s">
        <v>16</v>
      </c>
      <c r="F12" s="35">
        <f>IF(F9&gt;0,36-V12,0)</f>
        <v>36</v>
      </c>
      <c r="G12" s="10" t="s">
        <v>16</v>
      </c>
      <c r="H12" s="35">
        <f>IF(H9&gt;0,36-X12,0)</f>
        <v>38</v>
      </c>
      <c r="I12" s="61"/>
      <c r="J12" s="10" t="s">
        <v>16</v>
      </c>
      <c r="K12" s="35">
        <f>IF(K9&gt;0,36-Z12,0)</f>
        <v>0</v>
      </c>
      <c r="L12" s="61"/>
      <c r="M12" s="10"/>
      <c r="N12" s="35"/>
      <c r="O12" s="60"/>
      <c r="Q12" s="37"/>
      <c r="R12" s="1"/>
      <c r="S12" s="1"/>
      <c r="U12" s="92" t="s">
        <v>103</v>
      </c>
      <c r="V12" s="92">
        <f>IF(V9&lt;0,IF(V11&lt;-0.5,V10-1,V10),ROUND(V9,0))</f>
        <v>0</v>
      </c>
      <c r="W12" s="92"/>
      <c r="X12" s="92">
        <f>IF(X9&lt;0,IF(X11&lt;-0.5,X10-1,X10),ROUND(X9,0))</f>
        <v>-2</v>
      </c>
      <c r="Z12" s="92">
        <f>IF(Z9&lt;0,IF(Z11&lt;-0.5,Z10-1,Z10),ROUND(Z9,0))</f>
        <v>0</v>
      </c>
    </row>
    <row r="13" spans="3:26" ht="10.5" customHeight="1" x14ac:dyDescent="0.2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0"/>
      <c r="P13" s="36" t="s">
        <v>34</v>
      </c>
      <c r="Q13" s="1">
        <f>SMALL(Q9:Q11,COUNTIF($Q$9:$Q$11,0)+1)</f>
        <v>71.2</v>
      </c>
      <c r="R13" s="1">
        <f t="shared" ref="R13" si="0">SMALL(R9:R11,COUNTIF($Q$9:$Q$11,0)+1)</f>
        <v>71</v>
      </c>
      <c r="S13" s="1">
        <f>MAX(S9:S11)</f>
        <v>38</v>
      </c>
    </row>
    <row r="14" spans="3:26" ht="15.75" x14ac:dyDescent="0.25">
      <c r="C14" s="4"/>
      <c r="D14" s="5"/>
      <c r="E14" s="27" t="s">
        <v>13</v>
      </c>
      <c r="F14" s="62">
        <f>H42</f>
        <v>2</v>
      </c>
      <c r="G14" s="26"/>
      <c r="H14" s="62">
        <f>I42</f>
        <v>0</v>
      </c>
      <c r="I14" s="5"/>
      <c r="J14" s="5"/>
      <c r="K14" s="62">
        <f>J42</f>
        <v>0</v>
      </c>
      <c r="L14" s="5"/>
      <c r="M14" s="5"/>
      <c r="N14" s="69"/>
      <c r="O14" s="60"/>
    </row>
    <row r="15" spans="3:26" x14ac:dyDescent="0.25">
      <c r="C15" s="4"/>
      <c r="D15" s="5"/>
      <c r="E15" s="7"/>
      <c r="F15" s="8"/>
      <c r="G15" s="5"/>
      <c r="H15" s="8"/>
      <c r="I15" s="5"/>
      <c r="J15" s="5"/>
      <c r="K15" s="5"/>
      <c r="L15" s="5"/>
      <c r="M15" s="5"/>
      <c r="N15" s="8"/>
      <c r="O15" s="60"/>
    </row>
    <row r="16" spans="3:26" x14ac:dyDescent="0.25">
      <c r="C16" s="4"/>
      <c r="D16" s="5"/>
      <c r="E16" s="7"/>
      <c r="F16" s="8"/>
      <c r="G16" s="5"/>
      <c r="H16" s="8"/>
      <c r="I16" s="5"/>
      <c r="J16" s="5"/>
      <c r="K16" s="5"/>
      <c r="L16" s="5"/>
      <c r="M16" s="5"/>
      <c r="N16" s="8"/>
      <c r="O16" s="60"/>
    </row>
    <row r="17" spans="1:30" x14ac:dyDescent="0.25">
      <c r="C17" s="4"/>
      <c r="D17" s="5"/>
      <c r="E17" s="5"/>
      <c r="F17" s="54" t="s">
        <v>45</v>
      </c>
      <c r="G17" s="54"/>
      <c r="H17" s="54" t="s">
        <v>42</v>
      </c>
      <c r="I17" s="54"/>
      <c r="J17" s="54"/>
      <c r="K17" s="54" t="s">
        <v>43</v>
      </c>
      <c r="L17" s="54"/>
      <c r="M17" s="54"/>
      <c r="N17" s="54" t="s">
        <v>44</v>
      </c>
      <c r="O17" s="60"/>
    </row>
    <row r="18" spans="1:30" x14ac:dyDescent="0.25">
      <c r="C18" s="4"/>
      <c r="D18" s="18" t="s">
        <v>17</v>
      </c>
      <c r="E18" s="5"/>
      <c r="F18" s="5"/>
      <c r="G18" s="5"/>
      <c r="H18" s="5"/>
      <c r="I18" s="5"/>
      <c r="J18" s="5"/>
      <c r="K18" s="5"/>
      <c r="L18" s="5"/>
      <c r="M18" s="5"/>
      <c r="N18" s="8" t="s">
        <v>32</v>
      </c>
      <c r="O18" s="60"/>
    </row>
    <row r="19" spans="1:30" x14ac:dyDescent="0.25">
      <c r="C19" s="4"/>
      <c r="D19" s="45"/>
      <c r="E19" s="7" t="s">
        <v>3</v>
      </c>
      <c r="F19" s="50">
        <v>10</v>
      </c>
      <c r="G19" s="5"/>
      <c r="H19" s="50">
        <v>20</v>
      </c>
      <c r="I19" s="5"/>
      <c r="J19" s="5"/>
      <c r="K19" s="50">
        <v>30</v>
      </c>
      <c r="L19" s="5"/>
      <c r="M19" s="5"/>
      <c r="N19" s="50">
        <v>40</v>
      </c>
      <c r="O19" s="60"/>
    </row>
    <row r="20" spans="1:30" ht="3.4" customHeight="1" x14ac:dyDescent="0.25">
      <c r="C20" s="9"/>
      <c r="D20" s="45"/>
      <c r="E20" s="5"/>
      <c r="F20" s="45">
        <v>-2</v>
      </c>
      <c r="G20" s="5"/>
      <c r="H20" s="45"/>
      <c r="I20" s="5"/>
      <c r="J20" s="5"/>
      <c r="K20" s="45"/>
      <c r="L20" s="5"/>
      <c r="M20" s="5"/>
      <c r="N20" s="45"/>
      <c r="O20" s="60"/>
    </row>
    <row r="21" spans="1:30" ht="18" customHeight="1" x14ac:dyDescent="0.25">
      <c r="C21" s="9"/>
      <c r="D21" s="45"/>
      <c r="E21" s="5" t="s">
        <v>50</v>
      </c>
      <c r="F21" s="50" t="s">
        <v>46</v>
      </c>
      <c r="G21" s="5"/>
      <c r="H21" s="50" t="s">
        <v>47</v>
      </c>
      <c r="I21" s="5"/>
      <c r="J21" s="5"/>
      <c r="K21" s="50" t="s">
        <v>46</v>
      </c>
      <c r="L21" s="5"/>
      <c r="M21" s="5"/>
      <c r="N21" s="50" t="s">
        <v>47</v>
      </c>
      <c r="O21" s="60"/>
    </row>
    <row r="22" spans="1:30" ht="15.4" customHeight="1" x14ac:dyDescent="0.25">
      <c r="C22" s="9"/>
      <c r="D22" s="45"/>
      <c r="E22" s="5"/>
      <c r="F22" s="45"/>
      <c r="G22" s="54"/>
      <c r="H22" s="45"/>
      <c r="I22" s="5"/>
      <c r="J22" s="5"/>
      <c r="K22" s="45"/>
      <c r="L22" s="18"/>
      <c r="M22" s="18"/>
      <c r="N22" s="8"/>
      <c r="O22" s="60"/>
    </row>
    <row r="23" spans="1:30" x14ac:dyDescent="0.25">
      <c r="C23" s="4"/>
      <c r="D23" s="42"/>
      <c r="E23" s="7" t="s">
        <v>18</v>
      </c>
      <c r="F23" s="81">
        <f>IF(G3="Scotland",E47,F47)</f>
        <v>11</v>
      </c>
      <c r="G23" s="47"/>
      <c r="H23" s="81">
        <f>IF(G3="Scotland",E48,F48)</f>
        <v>23</v>
      </c>
      <c r="I23" s="47"/>
      <c r="J23" s="47"/>
      <c r="K23" s="81">
        <f>IF(G3="Scotland",E49,F49)</f>
        <v>34</v>
      </c>
      <c r="L23" s="5"/>
      <c r="M23" s="5"/>
      <c r="N23" s="81">
        <f>IF(G3="Scotland",E50,F50)</f>
        <v>45</v>
      </c>
      <c r="O23" s="60"/>
    </row>
    <row r="24" spans="1:30" x14ac:dyDescent="0.25">
      <c r="C24" s="4"/>
      <c r="D24" s="67"/>
      <c r="E24" s="7" t="s">
        <v>4</v>
      </c>
      <c r="F24" s="91">
        <f>F23*G24</f>
        <v>11</v>
      </c>
      <c r="G24" s="89">
        <f>L42</f>
        <v>1</v>
      </c>
      <c r="H24" s="91">
        <f>H23*I24</f>
        <v>23</v>
      </c>
      <c r="I24" s="89">
        <f>L42</f>
        <v>1</v>
      </c>
      <c r="J24" s="74"/>
      <c r="K24" s="91">
        <f>K23*L24</f>
        <v>34</v>
      </c>
      <c r="L24" s="89">
        <f>L42</f>
        <v>1</v>
      </c>
      <c r="M24" s="42"/>
      <c r="N24" s="91">
        <f>N23*O24</f>
        <v>45</v>
      </c>
      <c r="O24" s="90">
        <f>L42</f>
        <v>1</v>
      </c>
    </row>
    <row r="25" spans="1:30" x14ac:dyDescent="0.25">
      <c r="C25" s="4"/>
      <c r="D25" s="42"/>
      <c r="E25" s="7" t="s">
        <v>13</v>
      </c>
      <c r="F25" s="99">
        <f>IF(F21=$C$51,H42,IF(F21=$C$52,I42,J42))</f>
        <v>2</v>
      </c>
      <c r="G25" s="43"/>
      <c r="H25" s="99">
        <f>IF(H21=$C$51,H42,IF(H21=$C$52,I42,J42))</f>
        <v>0</v>
      </c>
      <c r="I25" s="42"/>
      <c r="J25" s="42"/>
      <c r="K25" s="99">
        <f>IF(K21=$C$51,H42,IF(K21=$C$52,I42,J42))</f>
        <v>2</v>
      </c>
      <c r="L25" s="42"/>
      <c r="M25" s="42"/>
      <c r="N25" s="99">
        <f>IF(N21=$C$51,H42,IF(N21=$C$52,I42,J42))</f>
        <v>0</v>
      </c>
      <c r="O25" s="60"/>
    </row>
    <row r="26" spans="1:30" x14ac:dyDescent="0.25">
      <c r="C26" s="9"/>
      <c r="D26" s="5"/>
      <c r="E26" s="5"/>
      <c r="F26" s="72">
        <f>F24+F25</f>
        <v>13</v>
      </c>
      <c r="G26" s="35"/>
      <c r="H26" s="72">
        <f>H24+H25</f>
        <v>23</v>
      </c>
      <c r="I26" s="61"/>
      <c r="J26" s="61"/>
      <c r="K26" s="72">
        <f>K24+K25</f>
        <v>36</v>
      </c>
      <c r="L26" s="61"/>
      <c r="M26" s="61"/>
      <c r="N26" s="72">
        <f>IF(G5=C33,0,N24+N25)</f>
        <v>45</v>
      </c>
      <c r="O26" s="60"/>
      <c r="R26" s="144"/>
      <c r="S26" s="144"/>
      <c r="V26" s="144"/>
      <c r="W26" s="144"/>
    </row>
    <row r="27" spans="1:30" ht="15.75" x14ac:dyDescent="0.25">
      <c r="C27" s="4"/>
      <c r="D27" s="24" t="s">
        <v>19</v>
      </c>
      <c r="E27" s="25"/>
      <c r="F27" s="62">
        <f>I64</f>
        <v>13</v>
      </c>
      <c r="G27" s="71"/>
      <c r="H27" s="62">
        <f>J64</f>
        <v>23</v>
      </c>
      <c r="I27" s="100"/>
      <c r="J27" s="101"/>
      <c r="K27" s="62">
        <f>K64</f>
        <v>36</v>
      </c>
      <c r="L27" s="145"/>
      <c r="M27" s="145"/>
      <c r="N27" s="62">
        <f>L64</f>
        <v>45</v>
      </c>
      <c r="O27" s="60"/>
    </row>
    <row r="28" spans="1:30" x14ac:dyDescent="0.25">
      <c r="C28" s="4"/>
      <c r="D28" s="5"/>
      <c r="E28" s="5"/>
      <c r="F28" s="61" t="s">
        <v>62</v>
      </c>
      <c r="G28" s="61" t="str">
        <f>IF(ISNUMBER(SEARCH("Medal",G5)),"Y","N")</f>
        <v>N</v>
      </c>
      <c r="H28" s="61"/>
      <c r="I28" s="61"/>
      <c r="J28" s="61"/>
      <c r="K28" s="61"/>
      <c r="L28" s="61" t="str">
        <f>IF(ISNUMBER(SEARCH("Medal",G5)),"Y","N")</f>
        <v>N</v>
      </c>
      <c r="M28" s="5"/>
      <c r="N28" s="8"/>
      <c r="O28" s="60"/>
      <c r="AD28" s="51"/>
    </row>
    <row r="29" spans="1:30" x14ac:dyDescent="0.2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60"/>
      <c r="Y29" s="52"/>
    </row>
    <row r="30" spans="1:30" ht="23.25" customHeight="1" thickBot="1" x14ac:dyDescent="0.3">
      <c r="C30" s="140" t="s">
        <v>96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30" hidden="1" x14ac:dyDescent="0.25">
      <c r="D31" s="1" t="s">
        <v>41</v>
      </c>
      <c r="E31" s="1" t="s">
        <v>37</v>
      </c>
      <c r="F31" s="1" t="s">
        <v>38</v>
      </c>
      <c r="G31" s="1"/>
      <c r="H31" s="1" t="s">
        <v>46</v>
      </c>
      <c r="I31" s="1" t="s">
        <v>47</v>
      </c>
      <c r="J31" s="1" t="s">
        <v>48</v>
      </c>
      <c r="K31" s="1"/>
      <c r="L31" s="1" t="s">
        <v>4</v>
      </c>
      <c r="M31" t="s">
        <v>4</v>
      </c>
      <c r="P31" s="1"/>
    </row>
    <row r="32" spans="1:30" hidden="1" x14ac:dyDescent="0.25">
      <c r="A32">
        <v>1</v>
      </c>
      <c r="C32" t="s">
        <v>80</v>
      </c>
      <c r="D32" s="1">
        <f>IF($F$9&gt;$Q$13,$F$9-$Q$13,0)</f>
        <v>0</v>
      </c>
      <c r="E32" s="37">
        <f>IF($H$9&gt;$Q$13,$H$9-$Q$13,0)</f>
        <v>1.2000000000000028</v>
      </c>
      <c r="F32" s="37">
        <f>IF($K$9&gt;$Q$13,$K$9-$Q$13,0)</f>
        <v>0</v>
      </c>
      <c r="G32" s="37"/>
      <c r="H32" s="1">
        <f>IF($F$12&lt;$S$13,$S$13-$F$12,0)</f>
        <v>2</v>
      </c>
      <c r="I32" s="1">
        <f>IF($H$12&gt;0,IF($H$12&lt;$S$13,$S$13-$H$12,0),0)</f>
        <v>0</v>
      </c>
      <c r="J32" s="1">
        <f>IF($K$12&gt;0,IF($K$12&lt;$S$13,$S$13-$K$12,0),0)</f>
        <v>0</v>
      </c>
      <c r="L32" s="1">
        <v>0.75</v>
      </c>
      <c r="M32" s="1">
        <v>0.75</v>
      </c>
      <c r="N32"/>
      <c r="P32" s="1"/>
    </row>
    <row r="33" spans="1:16" hidden="1" x14ac:dyDescent="0.25">
      <c r="A33">
        <v>2</v>
      </c>
      <c r="C33" t="s">
        <v>81</v>
      </c>
      <c r="D33" s="1">
        <f>IF($F$9&gt;$Q$13,$F$9-$Q$13,0)</f>
        <v>0</v>
      </c>
      <c r="E33" s="37">
        <f>IF($H$9&gt;$Q$13,$H$9-$Q$13,0)</f>
        <v>1.2000000000000028</v>
      </c>
      <c r="F33" s="37">
        <f>IF($K$9&gt;$Q$13,$K$9-$Q$13,0)</f>
        <v>0</v>
      </c>
      <c r="G33" s="37"/>
      <c r="H33" s="1">
        <f t="shared" ref="H33:H38" si="1">IF($F$12&lt;$S$13,$S$13-$F$12,0)</f>
        <v>2</v>
      </c>
      <c r="I33" s="1">
        <f t="shared" ref="I33:I39" si="2">IF($H$12&gt;0,IF($H$12&lt;$S$13,$S$13-$H$12,0),0)</f>
        <v>0</v>
      </c>
      <c r="J33" s="1">
        <f t="shared" ref="J33:J39" si="3">IF($K$12&gt;0,IF($K$12&lt;$S$13,$S$13-$K$12,0),0)</f>
        <v>0</v>
      </c>
      <c r="L33" s="1">
        <v>0.85</v>
      </c>
      <c r="M33" s="1">
        <v>0.8</v>
      </c>
      <c r="N33"/>
      <c r="P33" s="1"/>
    </row>
    <row r="34" spans="1:16" hidden="1" x14ac:dyDescent="0.25">
      <c r="A34">
        <v>3</v>
      </c>
      <c r="C34" t="s">
        <v>83</v>
      </c>
      <c r="D34" s="1">
        <f t="shared" ref="D34:D38" si="4">IF($F$9&gt;$Q$13,$F$9-$Q$13,0)</f>
        <v>0</v>
      </c>
      <c r="E34" s="37">
        <f t="shared" ref="E34:E38" si="5">IF($H$9&gt;$Q$13,$H$9-$Q$13,0)</f>
        <v>1.2000000000000028</v>
      </c>
      <c r="F34" s="37">
        <f t="shared" ref="F34:F38" si="6">IF($K$9&gt;$Q$13,$K$9-$Q$13,0)</f>
        <v>0</v>
      </c>
      <c r="G34" s="1"/>
      <c r="H34" s="1">
        <f t="shared" si="1"/>
        <v>2</v>
      </c>
      <c r="I34" s="1">
        <f t="shared" si="2"/>
        <v>0</v>
      </c>
      <c r="J34" s="1">
        <f t="shared" si="3"/>
        <v>0</v>
      </c>
      <c r="K34" s="51"/>
      <c r="L34" s="1">
        <v>1</v>
      </c>
      <c r="M34" s="1">
        <v>0.9</v>
      </c>
      <c r="N34"/>
      <c r="P34" s="1"/>
    </row>
    <row r="35" spans="1:16" hidden="1" x14ac:dyDescent="0.25">
      <c r="A35">
        <v>4</v>
      </c>
      <c r="C35" t="s">
        <v>82</v>
      </c>
      <c r="D35" s="1">
        <f t="shared" si="4"/>
        <v>0</v>
      </c>
      <c r="E35" s="37">
        <f t="shared" si="5"/>
        <v>1.2000000000000028</v>
      </c>
      <c r="F35" s="37">
        <f t="shared" si="6"/>
        <v>0</v>
      </c>
      <c r="G35" s="1"/>
      <c r="H35" s="1">
        <f t="shared" si="1"/>
        <v>2</v>
      </c>
      <c r="I35" s="1">
        <f t="shared" si="2"/>
        <v>0</v>
      </c>
      <c r="J35" s="1">
        <f t="shared" si="3"/>
        <v>0</v>
      </c>
      <c r="K35" s="51"/>
      <c r="L35" s="1">
        <v>1</v>
      </c>
      <c r="M35" s="1">
        <v>1</v>
      </c>
      <c r="N35"/>
      <c r="P35" s="1"/>
    </row>
    <row r="36" spans="1:16" hidden="1" x14ac:dyDescent="0.25">
      <c r="A36">
        <v>5</v>
      </c>
      <c r="C36" t="s">
        <v>84</v>
      </c>
      <c r="D36" s="1">
        <f t="shared" si="4"/>
        <v>0</v>
      </c>
      <c r="E36" s="37">
        <f t="shared" si="5"/>
        <v>1.2000000000000028</v>
      </c>
      <c r="F36" s="37">
        <f t="shared" si="6"/>
        <v>0</v>
      </c>
      <c r="G36" s="1"/>
      <c r="H36" s="1">
        <f t="shared" si="1"/>
        <v>2</v>
      </c>
      <c r="I36" s="1">
        <f t="shared" si="2"/>
        <v>0</v>
      </c>
      <c r="J36" s="1">
        <f t="shared" si="3"/>
        <v>0</v>
      </c>
      <c r="L36" s="1">
        <v>0.7</v>
      </c>
      <c r="M36" s="1">
        <v>0.7</v>
      </c>
      <c r="N36"/>
      <c r="P36" s="1"/>
    </row>
    <row r="37" spans="1:16" hidden="1" x14ac:dyDescent="0.25">
      <c r="A37">
        <v>6</v>
      </c>
      <c r="C37" t="s">
        <v>85</v>
      </c>
      <c r="D37" s="1">
        <f t="shared" si="4"/>
        <v>0</v>
      </c>
      <c r="E37" s="37">
        <f t="shared" si="5"/>
        <v>1.2000000000000028</v>
      </c>
      <c r="F37" s="37">
        <f t="shared" si="6"/>
        <v>0</v>
      </c>
      <c r="H37" s="1">
        <f t="shared" si="1"/>
        <v>2</v>
      </c>
      <c r="I37" s="1">
        <f t="shared" si="2"/>
        <v>0</v>
      </c>
      <c r="J37" s="1">
        <f t="shared" si="3"/>
        <v>0</v>
      </c>
      <c r="L37" s="1">
        <v>0.85</v>
      </c>
      <c r="M37" s="1">
        <v>0.85</v>
      </c>
      <c r="N37"/>
      <c r="P37" s="1"/>
    </row>
    <row r="38" spans="1:16" hidden="1" x14ac:dyDescent="0.25">
      <c r="A38">
        <v>7</v>
      </c>
      <c r="C38" t="s">
        <v>86</v>
      </c>
      <c r="D38" s="1">
        <f t="shared" si="4"/>
        <v>0</v>
      </c>
      <c r="E38" s="37">
        <f t="shared" si="5"/>
        <v>1.2000000000000028</v>
      </c>
      <c r="F38" s="37">
        <f t="shared" si="6"/>
        <v>0</v>
      </c>
      <c r="H38" s="1">
        <f t="shared" si="1"/>
        <v>2</v>
      </c>
      <c r="I38" s="1">
        <f t="shared" si="2"/>
        <v>0</v>
      </c>
      <c r="J38" s="1">
        <f t="shared" si="3"/>
        <v>0</v>
      </c>
      <c r="L38" s="1">
        <v>1</v>
      </c>
      <c r="M38" s="1">
        <v>1</v>
      </c>
      <c r="N38"/>
      <c r="P38" s="1"/>
    </row>
    <row r="39" spans="1:16" hidden="1" x14ac:dyDescent="0.25">
      <c r="D39" s="1">
        <f>VLOOKUP($G$5,$C$32:D$38,2,FALSE)</f>
        <v>0</v>
      </c>
      <c r="E39" s="1">
        <f>VLOOKUP($G$5,$C$32:E$38,3,FALSE)</f>
        <v>1.2000000000000028</v>
      </c>
      <c r="F39" s="1">
        <f>VLOOKUP($G$5,$C$32:F$38,4,FALSE)</f>
        <v>0</v>
      </c>
      <c r="H39" s="1">
        <f>VLOOKUP($G$5,$C$32:H$38,6,FALSE)</f>
        <v>2</v>
      </c>
      <c r="I39" s="1">
        <f t="shared" si="2"/>
        <v>0</v>
      </c>
      <c r="J39" s="1">
        <f t="shared" si="3"/>
        <v>0</v>
      </c>
      <c r="L39" s="1">
        <f>VLOOKUP($G$5,$C$32:L$38,10,FALSE)</f>
        <v>1</v>
      </c>
      <c r="M39" s="1">
        <f>VLOOKUP($G$5,$C$32:M$38,11,FALSE)</f>
        <v>0.9</v>
      </c>
      <c r="N39"/>
      <c r="P39" s="1"/>
    </row>
    <row r="40" spans="1:16" hidden="1" x14ac:dyDescent="0.25">
      <c r="C40" t="s">
        <v>26</v>
      </c>
      <c r="D40" s="144" t="s">
        <v>87</v>
      </c>
      <c r="E40" s="144"/>
      <c r="F40" s="144"/>
      <c r="H40" s="144" t="s">
        <v>90</v>
      </c>
      <c r="I40" s="144"/>
      <c r="J40" s="144"/>
      <c r="L40" s="1" t="s">
        <v>93</v>
      </c>
      <c r="M40" s="1" t="s">
        <v>94</v>
      </c>
      <c r="N40"/>
      <c r="P40" s="1"/>
    </row>
    <row r="41" spans="1:16" hidden="1" x14ac:dyDescent="0.25">
      <c r="C41" t="s">
        <v>27</v>
      </c>
      <c r="N41"/>
      <c r="P41" s="1"/>
    </row>
    <row r="42" spans="1:16" hidden="1" x14ac:dyDescent="0.25">
      <c r="C42" t="s">
        <v>28</v>
      </c>
      <c r="G42" t="s">
        <v>92</v>
      </c>
      <c r="H42" s="1">
        <f>IF($J$5=$C$44,D39,H39)</f>
        <v>2</v>
      </c>
      <c r="I42" s="1">
        <f t="shared" ref="I42:J42" si="7">IF($J$5=$C$44,E39,I39)</f>
        <v>0</v>
      </c>
      <c r="J42" s="1">
        <f t="shared" si="7"/>
        <v>0</v>
      </c>
      <c r="L42" s="1">
        <f>IF($J$5=$C$46,M39,L39)</f>
        <v>1</v>
      </c>
    </row>
    <row r="43" spans="1:16" hidden="1" x14ac:dyDescent="0.25">
      <c r="C43" t="s">
        <v>29</v>
      </c>
    </row>
    <row r="44" spans="1:16" hidden="1" x14ac:dyDescent="0.25">
      <c r="C44" t="s">
        <v>87</v>
      </c>
    </row>
    <row r="45" spans="1:16" hidden="1" x14ac:dyDescent="0.25">
      <c r="C45" t="s">
        <v>88</v>
      </c>
    </row>
    <row r="46" spans="1:16" hidden="1" x14ac:dyDescent="0.25">
      <c r="C46" t="s">
        <v>89</v>
      </c>
      <c r="D46" s="87" t="s">
        <v>68</v>
      </c>
    </row>
    <row r="47" spans="1:16" ht="12.4" hidden="1" customHeight="1" x14ac:dyDescent="0.25">
      <c r="C47" t="s">
        <v>45</v>
      </c>
      <c r="D47" s="37">
        <f>F19</f>
        <v>10</v>
      </c>
      <c r="E47" s="78">
        <f>D47*G47/113</f>
        <v>11.238938053097344</v>
      </c>
      <c r="F47" s="102">
        <f>I56</f>
        <v>11</v>
      </c>
      <c r="G47">
        <f>IF(F21=C51,F11,IF(F21=C52,H11,K11))</f>
        <v>127</v>
      </c>
    </row>
    <row r="48" spans="1:16" hidden="1" x14ac:dyDescent="0.25">
      <c r="C48" t="s">
        <v>42</v>
      </c>
      <c r="D48" s="37">
        <f>H19</f>
        <v>20</v>
      </c>
      <c r="E48" s="78">
        <f>D48*G48/113</f>
        <v>22.654867256637168</v>
      </c>
      <c r="F48" s="102">
        <f>J56</f>
        <v>23</v>
      </c>
      <c r="G48">
        <f>IF(H21=C51,F11,IF(H21=C52,H11,K11))</f>
        <v>128</v>
      </c>
    </row>
    <row r="49" spans="3:12" hidden="1" x14ac:dyDescent="0.25">
      <c r="C49" t="s">
        <v>43</v>
      </c>
      <c r="D49" s="37">
        <f>K19</f>
        <v>30</v>
      </c>
      <c r="E49" s="78">
        <f>D49*G49/113</f>
        <v>33.716814159292035</v>
      </c>
      <c r="F49" s="102">
        <f>K56</f>
        <v>34</v>
      </c>
      <c r="G49">
        <f>IF(K21=C51,F11,IF(K21=C52,H11,K11))</f>
        <v>127</v>
      </c>
    </row>
    <row r="50" spans="3:12" hidden="1" x14ac:dyDescent="0.25">
      <c r="C50" t="s">
        <v>44</v>
      </c>
      <c r="D50" s="37">
        <f>N19</f>
        <v>40</v>
      </c>
      <c r="E50" s="78">
        <f>D50*G50/113</f>
        <v>45.309734513274336</v>
      </c>
      <c r="F50" s="102">
        <f>L56</f>
        <v>45</v>
      </c>
      <c r="G50">
        <f>IF(N21=C51,F11,IF(N21=C52,H11,K11))</f>
        <v>128</v>
      </c>
    </row>
    <row r="51" spans="3:12" hidden="1" x14ac:dyDescent="0.25">
      <c r="C51" t="s">
        <v>46</v>
      </c>
    </row>
    <row r="52" spans="3:12" hidden="1" x14ac:dyDescent="0.25">
      <c r="C52" t="s">
        <v>47</v>
      </c>
      <c r="I52" t="s">
        <v>45</v>
      </c>
      <c r="J52" t="s">
        <v>42</v>
      </c>
      <c r="K52" t="s">
        <v>43</v>
      </c>
      <c r="L52" t="s">
        <v>44</v>
      </c>
    </row>
    <row r="53" spans="3:12" hidden="1" x14ac:dyDescent="0.25">
      <c r="C53" t="s">
        <v>48</v>
      </c>
      <c r="H53" t="s">
        <v>74</v>
      </c>
      <c r="I53" s="51">
        <f>D47*G47/113</f>
        <v>11.238938053097344</v>
      </c>
      <c r="J53" s="51">
        <f>D48*G48/113</f>
        <v>22.654867256637168</v>
      </c>
      <c r="K53" s="51">
        <f>D49*G49/113</f>
        <v>33.716814159292035</v>
      </c>
      <c r="L53" s="51">
        <f>D50*G50/113</f>
        <v>45.309734513274336</v>
      </c>
    </row>
    <row r="54" spans="3:12" hidden="1" x14ac:dyDescent="0.25">
      <c r="I54" s="78">
        <f>IF(I53&lt;0,I53*-1,I53)</f>
        <v>11.238938053097344</v>
      </c>
      <c r="J54" s="78">
        <f>IF(J53&lt;0,J53*-1,J53)</f>
        <v>22.654867256637168</v>
      </c>
      <c r="K54" s="78">
        <f>IF(K53&lt;0,K53*-1,K53)</f>
        <v>33.716814159292035</v>
      </c>
      <c r="L54" s="78">
        <f>IF(L53&lt;0,L53*-1,L53)</f>
        <v>45.309734513274336</v>
      </c>
    </row>
    <row r="55" spans="3:12" hidden="1" x14ac:dyDescent="0.25">
      <c r="I55" s="78">
        <f>IF(I54-INT(I54)=0.5,IF(I53&lt;0,I53+0.001,I53),I53)</f>
        <v>11.238938053097344</v>
      </c>
      <c r="J55" s="78">
        <f>IF(J54-INT(J54)=0.5,IF(J53&lt;0,J53+0.001,J53),J53)</f>
        <v>22.654867256637168</v>
      </c>
      <c r="K55" s="78">
        <f>IF(K54-INT(K54)=0.5,IF(K53&lt;0,K53+0.001,K53),K53)</f>
        <v>33.716814159292035</v>
      </c>
      <c r="L55" s="78">
        <f>IF(L54-INT(L54)=0.5,IF(L53&lt;0,L53+0.001,L53),L53)</f>
        <v>45.309734513274336</v>
      </c>
    </row>
    <row r="56" spans="3:12" hidden="1" x14ac:dyDescent="0.25">
      <c r="H56" t="s">
        <v>95</v>
      </c>
      <c r="I56" s="102">
        <f>ROUND(I55,0)</f>
        <v>11</v>
      </c>
      <c r="J56" s="102">
        <f>ROUND(J55,0)</f>
        <v>23</v>
      </c>
      <c r="K56" s="102">
        <f>ROUND(K55,0)</f>
        <v>34</v>
      </c>
      <c r="L56" s="102">
        <f>ROUND(L55,0)</f>
        <v>45</v>
      </c>
    </row>
    <row r="57" spans="3:12" hidden="1" x14ac:dyDescent="0.25">
      <c r="I57" s="78">
        <f>IF($G$3=$C$45,I53,I56)</f>
        <v>11</v>
      </c>
      <c r="J57" s="78">
        <f>IF($G$3=$C$45,J53,J56)</f>
        <v>23</v>
      </c>
      <c r="K57" s="78">
        <f>IF($G$3=$C$45,K53,K56)</f>
        <v>34</v>
      </c>
      <c r="L57" s="78">
        <f>IF($G$3=$C$45,L53,L56)</f>
        <v>45</v>
      </c>
    </row>
    <row r="58" spans="3:12" hidden="1" x14ac:dyDescent="0.25"/>
    <row r="59" spans="3:12" hidden="1" x14ac:dyDescent="0.25">
      <c r="I59" s="36" t="s">
        <v>19</v>
      </c>
    </row>
    <row r="60" spans="3:12" hidden="1" x14ac:dyDescent="0.25"/>
    <row r="61" spans="3:12" hidden="1" x14ac:dyDescent="0.25">
      <c r="G61" s="103">
        <f>I24</f>
        <v>1</v>
      </c>
      <c r="I61" s="78">
        <f>F24+F25</f>
        <v>13</v>
      </c>
      <c r="J61" s="78">
        <f>H24+H25</f>
        <v>23</v>
      </c>
      <c r="K61" s="78">
        <f>K24+K25</f>
        <v>36</v>
      </c>
      <c r="L61" s="78">
        <f>N24+N25</f>
        <v>45</v>
      </c>
    </row>
    <row r="62" spans="3:12" hidden="1" x14ac:dyDescent="0.25">
      <c r="I62" s="78">
        <f>IF(I61&lt;0,ROUND(I61*-1,3),ROUND(I61,3))</f>
        <v>13</v>
      </c>
      <c r="J62" s="78">
        <f>IF(J61&lt;0,ROUND(J61*-1,3),ROUND(J61,3))</f>
        <v>23</v>
      </c>
      <c r="K62" s="78">
        <f>IF(K61&lt;0,ROUND(K61*-1,3),ROUND(K61,3))</f>
        <v>36</v>
      </c>
      <c r="L62" s="78">
        <f>IF(L61&lt;0,ROUND(L61*-1,3),ROUND(L61,3))</f>
        <v>45</v>
      </c>
    </row>
    <row r="63" spans="3:12" hidden="1" x14ac:dyDescent="0.25">
      <c r="I63" s="78">
        <f>IF(I62-INT(I62)=0.5,IF(I61&lt;0,I61+0.001,I61),I61)</f>
        <v>13</v>
      </c>
      <c r="J63" s="78">
        <f>IF(J62-INT(J62)=0.5,IF(J61&lt;0,J61+0.001,J61),J61)</f>
        <v>23</v>
      </c>
      <c r="K63" s="78">
        <f>IF(K62-INT(K62)=0.5,IF(K61&lt;0,K61+0.001,K61),K61)</f>
        <v>36</v>
      </c>
      <c r="L63" s="78">
        <f>IF(L62-INT(L62)=0.5,IF(L61&lt;0,L61+0.001,L61),L61)</f>
        <v>45</v>
      </c>
    </row>
    <row r="64" spans="3:12" hidden="1" x14ac:dyDescent="0.25">
      <c r="I64">
        <f>ROUND(I63,0)</f>
        <v>13</v>
      </c>
      <c r="J64">
        <f>ROUND(J63,0)</f>
        <v>23</v>
      </c>
      <c r="K64">
        <f>ROUND(K63,0)</f>
        <v>36</v>
      </c>
      <c r="L64">
        <f>ROUND(L63,0)</f>
        <v>45</v>
      </c>
    </row>
    <row r="65" hidden="1" x14ac:dyDescent="0.25"/>
  </sheetData>
  <sheetProtection algorithmName="SHA-512" hashValue="9yJiIBPQKvIT8oViXZhA6V2/O2kndFswc00abJQC2D761GFnAqWKMlMxMsZ16d/fAKOklvK8P6PRf/DpIRXotg==" saltValue="Mucd3TTmL3n/ey5Va0T7/w==" spinCount="100000" sheet="1" objects="1" scenarios="1" selectLockedCells="1"/>
  <mergeCells count="11">
    <mergeCell ref="C2:D2"/>
    <mergeCell ref="C3:D3"/>
    <mergeCell ref="G3:H3"/>
    <mergeCell ref="C5:D5"/>
    <mergeCell ref="G5:H5"/>
    <mergeCell ref="V26:W26"/>
    <mergeCell ref="L27:M27"/>
    <mergeCell ref="C30:O30"/>
    <mergeCell ref="D40:F40"/>
    <mergeCell ref="H40:J40"/>
    <mergeCell ref="R26:S26"/>
  </mergeCells>
  <conditionalFormatting sqref="D27:F27">
    <cfRule type="expression" dxfId="5" priority="14">
      <formula>$G$5="Individual Medal (Scratch)"</formula>
    </cfRule>
  </conditionalFormatting>
  <conditionalFormatting sqref="E27:F27">
    <cfRule type="expression" priority="13">
      <formula>$G$5="Individual Medal (Scratch)"</formula>
    </cfRule>
  </conditionalFormatting>
  <conditionalFormatting sqref="H27">
    <cfRule type="expression" dxfId="4" priority="12">
      <formula>$G$5="Individual Medal (Scratch)"</formula>
    </cfRule>
  </conditionalFormatting>
  <conditionalFormatting sqref="H27">
    <cfRule type="expression" priority="11">
      <formula>$G$5="Individual Medal (Scratch)"</formula>
    </cfRule>
  </conditionalFormatting>
  <conditionalFormatting sqref="K27">
    <cfRule type="expression" dxfId="3" priority="10">
      <formula>$G$5="Individual Medal (Scratch)"</formula>
    </cfRule>
  </conditionalFormatting>
  <conditionalFormatting sqref="K27">
    <cfRule type="expression" priority="9">
      <formula>$G$5="Individual Medal (Scratch)"</formula>
    </cfRule>
  </conditionalFormatting>
  <conditionalFormatting sqref="N17:O27">
    <cfRule type="expression" dxfId="2" priority="1">
      <formula>$G$5=$C$38</formula>
    </cfRule>
    <cfRule type="expression" dxfId="1" priority="2">
      <formula>$G$5=$C$37</formula>
    </cfRule>
    <cfRule type="expression" dxfId="0" priority="3">
      <formula>$G$5=$C$36</formula>
    </cfRule>
  </conditionalFormatting>
  <dataValidations count="4">
    <dataValidation type="list" allowBlank="1" showInputMessage="1" showErrorMessage="1" sqref="G5:H5" xr:uid="{16D3E216-09A9-4F00-9B7F-E2064A4D0CAB}">
      <formula1>$C$32:$C$38</formula1>
    </dataValidation>
    <dataValidation type="list" allowBlank="1" showInputMessage="1" showErrorMessage="1" sqref="J5" xr:uid="{083058E9-0A4E-476C-8267-C117857D8ED1}">
      <formula1>$C$44:$C$46</formula1>
    </dataValidation>
    <dataValidation type="list" allowBlank="1" showInputMessage="1" showErrorMessage="1" sqref="G3" xr:uid="{3FBCA48C-D1F0-44BA-8C89-FA72AFBCF455}">
      <formula1>$C$40:$C$43</formula1>
    </dataValidation>
    <dataValidation type="list" allowBlank="1" showInputMessage="1" showErrorMessage="1" sqref="F21 H21 K21 N21" xr:uid="{1130B4ED-493F-4EF2-9164-6049C5CDD6B6}">
      <formula1>$C$51:$C$53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 Holes - 2 Tees</vt:lpstr>
      <vt:lpstr>18 Holes - 3 Tees</vt:lpstr>
      <vt:lpstr>9 Holes - 2 Tees</vt:lpstr>
      <vt:lpstr>Foursomes Greensomes</vt:lpstr>
      <vt:lpstr>Scrambles</vt:lpstr>
      <vt:lpstr>Team Competitions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Fisher</dc:creator>
  <cp:lastModifiedBy>admin</cp:lastModifiedBy>
  <cp:lastPrinted>2017-05-18T10:37:57Z</cp:lastPrinted>
  <dcterms:created xsi:type="dcterms:W3CDTF">2014-01-14T11:14:11Z</dcterms:created>
  <dcterms:modified xsi:type="dcterms:W3CDTF">2023-02-14T13:23:22Z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8d81ebde-b093-4b89-9be9-5dcc83ba689e</vt:lpwstr>
  </property>
</Properties>
</file>